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szynal\Desktop\SPRAWOZD\"/>
    </mc:Choice>
  </mc:AlternateContent>
  <xr:revisionPtr revIDLastSave="0" documentId="13_ncr:1_{6A72D297-8D82-4509-89B3-DA3F709AEC14}" xr6:coauthVersionLast="36" xr6:coauthVersionMax="47" xr10:uidLastSave="{00000000-0000-0000-0000-000000000000}"/>
  <bookViews>
    <workbookView xWindow="-120" yWindow="-120" windowWidth="29040" windowHeight="15840" tabRatio="866" xr2:uid="{00000000-000D-0000-FFFF-FFFF00000000}"/>
  </bookViews>
  <sheets>
    <sheet name="dochody" sheetId="1" r:id="rId1"/>
    <sheet name="Tabela Nr 2 wydatki" sheetId="10" r:id="rId2"/>
    <sheet name="adm.rząd.doch. " sheetId="3" r:id="rId3"/>
    <sheet name="adm.rzad.wyd." sheetId="4" r:id="rId4"/>
    <sheet name="ustawy szczegól." sheetId="5" r:id="rId5"/>
    <sheet name="dotacjena podst. porozumień" sheetId="6" r:id="rId6"/>
    <sheet name="dotacje udzielone innym jst2023" sheetId="7" r:id="rId7"/>
    <sheet name="przych i rozch." sheetId="9" r:id="rId8"/>
    <sheet name="wyodrębniony rachunek" sheetId="11" r:id="rId9"/>
  </sheets>
  <definedNames>
    <definedName name="nowwa" localSheetId="7">#REF!</definedName>
    <definedName name="nowwa" localSheetId="1">#REF!</definedName>
    <definedName name="nowwa" localSheetId="8">#REF!</definedName>
    <definedName name="nowwa">#REF!</definedName>
    <definedName name="Obszar_1093uku" localSheetId="3">#REF!</definedName>
    <definedName name="Obszar_1093uku" localSheetId="2">#REF!</definedName>
    <definedName name="Obszar_1093uku" localSheetId="7">#REF!</definedName>
    <definedName name="Obszar_1093uku" localSheetId="1">#REF!</definedName>
    <definedName name="Obszar_1093uku" localSheetId="8">#REF!</definedName>
    <definedName name="Obszar_1093uku">#REF!</definedName>
    <definedName name="_xlnm.Print_Area" localSheetId="3">adm.rzad.wyd.!$A$1:$O$113</definedName>
    <definedName name="_xlnm.Print_Area" localSheetId="2">'adm.rząd.doch. '!$A$1:$H$52</definedName>
    <definedName name="_xlnm.Print_Area" localSheetId="0">dochody!$A$1:$H$661</definedName>
    <definedName name="_xlnm.Print_Area" localSheetId="6">'dotacje udzielone innym jst2023'!$A$1:$I$112</definedName>
    <definedName name="_xlnm.Print_Area" localSheetId="5">'dotacjena podst. porozumień'!$A$1:$L$32</definedName>
    <definedName name="_xlnm.Print_Area" localSheetId="7">'przych i rozch.'!$A$1:$D$24</definedName>
    <definedName name="_xlnm.Print_Area" localSheetId="1">'Tabela Nr 2 wydatki'!$A$1:$H$1884</definedName>
    <definedName name="_xlnm.Print_Area" localSheetId="4">'ustawy szczegól.'!$A$1:$L$71</definedName>
    <definedName name="_xlnm.Print_Area" localSheetId="8">'wyodrębniony rachunek'!$A$1:$H$17</definedName>
    <definedName name="q" localSheetId="1">#REF!</definedName>
    <definedName name="q" localSheetId="8">#REF!</definedName>
    <definedName name="q">#REF!</definedName>
    <definedName name="_xlnm.Print_Titles" localSheetId="3">adm.rzad.wyd.!$1:$6</definedName>
    <definedName name="_xlnm.Print_Titles" localSheetId="2">'adm.rząd.doch. '!$3:$4</definedName>
    <definedName name="_xlnm.Print_Titles" localSheetId="0">dochody!$3:$5</definedName>
    <definedName name="_xlnm.Print_Titles" localSheetId="6">'dotacje udzielone innym jst2023'!$4:$6</definedName>
    <definedName name="_xlnm.Print_Titles" localSheetId="5">'dotacjena podst. porozumień'!$4:$6</definedName>
    <definedName name="_xlnm.Print_Titles" localSheetId="1">'Tabela Nr 2 wydatki'!$3:$4</definedName>
    <definedName name="_xlnm.Print_Titles" localSheetId="4">'ustawy szczegól.'!$4:$6</definedName>
    <definedName name="wydatki" localSheetId="1">#REF!</definedName>
    <definedName name="wydatki" localSheetId="8">#REF!</definedName>
    <definedName name="wydatki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5" l="1"/>
  <c r="K37" i="5"/>
  <c r="J37" i="5"/>
  <c r="I37" i="5"/>
  <c r="H37" i="5"/>
  <c r="I34" i="5"/>
  <c r="H249" i="10"/>
  <c r="H1758" i="10"/>
  <c r="I31" i="6"/>
  <c r="F45" i="5"/>
  <c r="J15" i="6"/>
  <c r="F216" i="10"/>
  <c r="G1305" i="10" l="1"/>
  <c r="F1305" i="10"/>
  <c r="E1305" i="10"/>
  <c r="H1311" i="10"/>
  <c r="G149" i="10"/>
  <c r="I33" i="5"/>
  <c r="H33" i="5"/>
  <c r="K33" i="5"/>
  <c r="J33" i="5"/>
  <c r="F33" i="5"/>
  <c r="E33" i="5"/>
  <c r="K31" i="5"/>
  <c r="J31" i="5"/>
  <c r="I31" i="5"/>
  <c r="H31" i="5"/>
  <c r="F31" i="5"/>
  <c r="E31" i="5"/>
  <c r="F685" i="10"/>
  <c r="G669" i="10"/>
  <c r="H716" i="10"/>
  <c r="F760" i="10"/>
  <c r="F669" i="10"/>
  <c r="F666" i="10" s="1"/>
  <c r="H774" i="10"/>
  <c r="H773" i="10"/>
  <c r="H767" i="10"/>
  <c r="G764" i="10"/>
  <c r="G763" i="10"/>
  <c r="G662" i="10"/>
  <c r="F662" i="10"/>
  <c r="F408" i="10"/>
  <c r="G413" i="10"/>
  <c r="G412" i="10" s="1"/>
  <c r="F413" i="10"/>
  <c r="F412" i="10" s="1"/>
  <c r="G420" i="10"/>
  <c r="F420" i="10"/>
  <c r="E420" i="10"/>
  <c r="G396" i="10"/>
  <c r="F396" i="10"/>
  <c r="G408" i="10"/>
  <c r="G1656" i="10"/>
  <c r="F1656" i="10"/>
  <c r="F1619" i="10"/>
  <c r="G1584" i="10"/>
  <c r="F1584" i="10"/>
  <c r="F1568" i="10"/>
  <c r="G1561" i="10"/>
  <c r="F1561" i="10"/>
  <c r="G1800" i="10"/>
  <c r="F1800" i="10"/>
  <c r="G1792" i="10"/>
  <c r="F1792" i="10"/>
  <c r="E413" i="10"/>
  <c r="E369" i="10"/>
  <c r="G370" i="10"/>
  <c r="G369" i="10" s="1"/>
  <c r="F370" i="10"/>
  <c r="F369" i="10" s="1"/>
  <c r="F388" i="10"/>
  <c r="G383" i="10"/>
  <c r="F383" i="10"/>
  <c r="F361" i="10"/>
  <c r="G347" i="10"/>
  <c r="F347" i="10"/>
  <c r="G334" i="10"/>
  <c r="F334" i="10"/>
  <c r="F324" i="10"/>
  <c r="F323" i="10" s="1"/>
  <c r="G324" i="10"/>
  <c r="F329" i="10"/>
  <c r="G99" i="10"/>
  <c r="F99" i="10"/>
  <c r="F106" i="10"/>
  <c r="G92" i="10"/>
  <c r="F92" i="10"/>
  <c r="G83" i="10"/>
  <c r="F83" i="10"/>
  <c r="G666" i="10" l="1"/>
  <c r="H669" i="10"/>
  <c r="G760" i="10"/>
  <c r="F322" i="10"/>
  <c r="F1791" i="10"/>
  <c r="F382" i="10"/>
  <c r="H369" i="10"/>
  <c r="H370" i="10"/>
  <c r="G10" i="10"/>
  <c r="F10" i="10"/>
  <c r="G18" i="10"/>
  <c r="F18" i="10"/>
  <c r="G9" i="10" l="1"/>
  <c r="F9" i="10"/>
  <c r="G85" i="7" l="1"/>
  <c r="E85" i="7"/>
  <c r="E46" i="7"/>
  <c r="F50" i="7"/>
  <c r="H8" i="7"/>
  <c r="G8" i="7"/>
  <c r="E8" i="7"/>
  <c r="I112" i="4"/>
  <c r="H112" i="4" s="1"/>
  <c r="G112" i="4" s="1"/>
  <c r="O112" i="4" s="1"/>
  <c r="N111" i="4"/>
  <c r="N104" i="4" s="1"/>
  <c r="M111" i="4"/>
  <c r="M104" i="4" s="1"/>
  <c r="L111" i="4"/>
  <c r="L104" i="4" s="1"/>
  <c r="K111" i="4"/>
  <c r="I111" i="4" s="1"/>
  <c r="F111" i="4"/>
  <c r="E111" i="4"/>
  <c r="N30" i="4"/>
  <c r="N7" i="4"/>
  <c r="M7" i="4"/>
  <c r="I107" i="4"/>
  <c r="H107" i="4" s="1"/>
  <c r="G107" i="4" s="1"/>
  <c r="O107" i="4" s="1"/>
  <c r="I108" i="4"/>
  <c r="H108" i="4" s="1"/>
  <c r="G108" i="4" s="1"/>
  <c r="O108" i="4" s="1"/>
  <c r="I109" i="4"/>
  <c r="H109" i="4" s="1"/>
  <c r="G109" i="4" s="1"/>
  <c r="O109" i="4" s="1"/>
  <c r="I110" i="4"/>
  <c r="H110" i="4" s="1"/>
  <c r="G110" i="4" s="1"/>
  <c r="O110" i="4" s="1"/>
  <c r="K105" i="4"/>
  <c r="F105" i="4"/>
  <c r="I88" i="4"/>
  <c r="H88" i="4" s="1"/>
  <c r="G88" i="4" s="1"/>
  <c r="O88" i="4" s="1"/>
  <c r="I89" i="4"/>
  <c r="H89" i="4" s="1"/>
  <c r="G89" i="4" s="1"/>
  <c r="I78" i="4"/>
  <c r="H78" i="4" s="1"/>
  <c r="G78" i="4" s="1"/>
  <c r="I79" i="4"/>
  <c r="H79" i="4" s="1"/>
  <c r="G79" i="4" s="1"/>
  <c r="I77" i="4"/>
  <c r="H77" i="4" s="1"/>
  <c r="G77" i="4" s="1"/>
  <c r="I43" i="4"/>
  <c r="H43" i="4" s="1"/>
  <c r="I12" i="4"/>
  <c r="H12" i="4" s="1"/>
  <c r="G12" i="4" s="1"/>
  <c r="O12" i="4" s="1"/>
  <c r="F104" i="4" l="1"/>
  <c r="H111" i="4"/>
  <c r="G111" i="4" s="1"/>
  <c r="O111" i="4" s="1"/>
  <c r="K104" i="4"/>
  <c r="M63" i="4"/>
  <c r="H51" i="3"/>
  <c r="G50" i="3"/>
  <c r="F50" i="3"/>
  <c r="E50" i="3"/>
  <c r="F61" i="5"/>
  <c r="H50" i="3" l="1"/>
  <c r="I59" i="5"/>
  <c r="F49" i="7" l="1"/>
  <c r="F84" i="7"/>
  <c r="G72" i="7" l="1"/>
  <c r="G71" i="7" s="1"/>
  <c r="H72" i="7"/>
  <c r="H71" i="7" s="1"/>
  <c r="E72" i="7"/>
  <c r="E71" i="7" s="1"/>
  <c r="F72" i="7" l="1"/>
  <c r="F71" i="7" s="1"/>
  <c r="G620" i="1" l="1"/>
  <c r="G486" i="1"/>
  <c r="H17" i="11"/>
  <c r="G17" i="11"/>
  <c r="F17" i="11"/>
  <c r="E17" i="11"/>
  <c r="D13" i="9" l="1"/>
  <c r="D12" i="9"/>
  <c r="D11" i="9"/>
  <c r="D10" i="9"/>
  <c r="C14" i="9"/>
  <c r="B9" i="9"/>
  <c r="G480" i="10"/>
  <c r="B14" i="9" l="1"/>
  <c r="D9" i="9"/>
  <c r="D14" i="9"/>
  <c r="H276" i="1"/>
  <c r="H294" i="1" l="1"/>
  <c r="H107" i="1"/>
  <c r="G79" i="7"/>
  <c r="H79" i="7"/>
  <c r="E79" i="7"/>
  <c r="F81" i="7"/>
  <c r="G41" i="7" l="1"/>
  <c r="H41" i="7"/>
  <c r="E41" i="7"/>
  <c r="F43" i="7"/>
  <c r="F40" i="7"/>
  <c r="F39" i="7"/>
  <c r="F38" i="7"/>
  <c r="F37" i="7"/>
  <c r="F36" i="7"/>
  <c r="G34" i="7"/>
  <c r="H34" i="7"/>
  <c r="E34" i="7"/>
  <c r="F35" i="7"/>
  <c r="G29" i="7"/>
  <c r="H29" i="7"/>
  <c r="E29" i="7"/>
  <c r="F30" i="7"/>
  <c r="F33" i="7"/>
  <c r="F32" i="7"/>
  <c r="H22" i="7"/>
  <c r="F24" i="7"/>
  <c r="G22" i="7"/>
  <c r="E22" i="7"/>
  <c r="F28" i="7"/>
  <c r="F27" i="7" l="1"/>
  <c r="F23" i="7"/>
  <c r="G256" i="1"/>
  <c r="G254" i="1"/>
  <c r="H401" i="1" l="1"/>
  <c r="G329" i="1"/>
  <c r="E329" i="1"/>
  <c r="G319" i="1"/>
  <c r="E319" i="1"/>
  <c r="H397" i="1"/>
  <c r="H368" i="1"/>
  <c r="H542" i="1" l="1"/>
  <c r="H205" i="1" l="1"/>
  <c r="H240" i="1"/>
  <c r="H237" i="1"/>
  <c r="G252" i="1"/>
  <c r="F252" i="1"/>
  <c r="E252" i="1"/>
  <c r="H233" i="1" l="1"/>
  <c r="H234" i="1"/>
  <c r="I18" i="5" l="1"/>
  <c r="E578" i="1"/>
  <c r="E577" i="1" s="1"/>
  <c r="G578" i="1"/>
  <c r="G577" i="1" s="1"/>
  <c r="F578" i="1"/>
  <c r="F577" i="1" s="1"/>
  <c r="H163" i="1" l="1"/>
  <c r="H165" i="1"/>
  <c r="H166" i="1"/>
  <c r="H169" i="1" l="1"/>
  <c r="H168" i="1"/>
  <c r="G167" i="1"/>
  <c r="F167" i="1"/>
  <c r="E167" i="1"/>
  <c r="E158" i="1"/>
  <c r="F158" i="1"/>
  <c r="H167" i="1" l="1"/>
  <c r="G137" i="1"/>
  <c r="G127" i="1"/>
  <c r="F127" i="1"/>
  <c r="E127" i="1"/>
  <c r="H135" i="1"/>
  <c r="G126" i="1" l="1"/>
  <c r="G34" i="1"/>
  <c r="E34" i="1"/>
  <c r="F34" i="1"/>
  <c r="F212" i="10" l="1"/>
  <c r="G212" i="10"/>
  <c r="E212" i="10"/>
  <c r="H219" i="10"/>
  <c r="G1879" i="10"/>
  <c r="F1879" i="10"/>
  <c r="E1879" i="10"/>
  <c r="G1878" i="10"/>
  <c r="F1878" i="10"/>
  <c r="E1878" i="10"/>
  <c r="H1867" i="10"/>
  <c r="G1866" i="10"/>
  <c r="F1866" i="10"/>
  <c r="F1865" i="10" s="1"/>
  <c r="E1866" i="10"/>
  <c r="E1865" i="10" s="1"/>
  <c r="H1863" i="10"/>
  <c r="G1862" i="10"/>
  <c r="G1861" i="10" s="1"/>
  <c r="F1862" i="10"/>
  <c r="F1861" i="10" s="1"/>
  <c r="E1862" i="10"/>
  <c r="E1861" i="10" s="1"/>
  <c r="H1859" i="10"/>
  <c r="G1858" i="10"/>
  <c r="F1858" i="10"/>
  <c r="F1857" i="10" s="1"/>
  <c r="E1858" i="10"/>
  <c r="E1857" i="10" s="1"/>
  <c r="H1855" i="10"/>
  <c r="H1854" i="10"/>
  <c r="G1853" i="10"/>
  <c r="F1853" i="10"/>
  <c r="E1853" i="10"/>
  <c r="H1851" i="10"/>
  <c r="H1850" i="10"/>
  <c r="G1849" i="10"/>
  <c r="F1849" i="10"/>
  <c r="E1849" i="10"/>
  <c r="H1847" i="10"/>
  <c r="H1846" i="10"/>
  <c r="G1845" i="10"/>
  <c r="F1845" i="10"/>
  <c r="E1845" i="10"/>
  <c r="H1843" i="10"/>
  <c r="H1842" i="10"/>
  <c r="G1841" i="10"/>
  <c r="F1841" i="10"/>
  <c r="E1841" i="10"/>
  <c r="H1837" i="10"/>
  <c r="G1836" i="10"/>
  <c r="G1835" i="10" s="1"/>
  <c r="G1834" i="10" s="1"/>
  <c r="F1836" i="10"/>
  <c r="E1836" i="10"/>
  <c r="E1835" i="10" s="1"/>
  <c r="E1834" i="10" s="1"/>
  <c r="H1832" i="10"/>
  <c r="G1831" i="10"/>
  <c r="F1831" i="10"/>
  <c r="E1831" i="10"/>
  <c r="H1829" i="10"/>
  <c r="H1828" i="10"/>
  <c r="H1827" i="10"/>
  <c r="G1826" i="10"/>
  <c r="G1825" i="10" s="1"/>
  <c r="F1826" i="10"/>
  <c r="E1826" i="10"/>
  <c r="E1825" i="10" s="1"/>
  <c r="H1822" i="10"/>
  <c r="G1821" i="10"/>
  <c r="G1820" i="10" s="1"/>
  <c r="F1821" i="10"/>
  <c r="F1820" i="10" s="1"/>
  <c r="E1821" i="10"/>
  <c r="E1820" i="10" s="1"/>
  <c r="H1818" i="10"/>
  <c r="H1817" i="10"/>
  <c r="G1816" i="10"/>
  <c r="F1816" i="10"/>
  <c r="F1790" i="10" s="1"/>
  <c r="E1816" i="10"/>
  <c r="H1814" i="10"/>
  <c r="H1813" i="10"/>
  <c r="H1812" i="10"/>
  <c r="H1811" i="10"/>
  <c r="H1810" i="10"/>
  <c r="H1809" i="10"/>
  <c r="H1808" i="10"/>
  <c r="H1807" i="10"/>
  <c r="H1806" i="10"/>
  <c r="H1805" i="10"/>
  <c r="H1804" i="10"/>
  <c r="H1803" i="10"/>
  <c r="H1802" i="10"/>
  <c r="H1801" i="10"/>
  <c r="E1800" i="10"/>
  <c r="H1798" i="10"/>
  <c r="H1797" i="10"/>
  <c r="H1796" i="10"/>
  <c r="H1795" i="10"/>
  <c r="H1794" i="10"/>
  <c r="H1793" i="10"/>
  <c r="E1792" i="10"/>
  <c r="H1787" i="10"/>
  <c r="H1786" i="10"/>
  <c r="G1785" i="10"/>
  <c r="F1785" i="10"/>
  <c r="F1784" i="10" s="1"/>
  <c r="E1785" i="10"/>
  <c r="E1784" i="10" s="1"/>
  <c r="H1782" i="10"/>
  <c r="G1781" i="10"/>
  <c r="F1781" i="10"/>
  <c r="E1781" i="10"/>
  <c r="H1779" i="10"/>
  <c r="H1778" i="10"/>
  <c r="G1777" i="10"/>
  <c r="F1777" i="10"/>
  <c r="E1777" i="10"/>
  <c r="H1775" i="10"/>
  <c r="E1775" i="10"/>
  <c r="H1773" i="10"/>
  <c r="E1773" i="10"/>
  <c r="G1772" i="10"/>
  <c r="F1772" i="10"/>
  <c r="H1770" i="10"/>
  <c r="E1770" i="10"/>
  <c r="E1767" i="10" s="1"/>
  <c r="H1769" i="10"/>
  <c r="H1768" i="10"/>
  <c r="G1767" i="10"/>
  <c r="F1767" i="10"/>
  <c r="H1763" i="10"/>
  <c r="H1762" i="10"/>
  <c r="G1761" i="10"/>
  <c r="G1760" i="10" s="1"/>
  <c r="F1761" i="10"/>
  <c r="E1761" i="10"/>
  <c r="E1760" i="10" s="1"/>
  <c r="H1757" i="10"/>
  <c r="H1756" i="10"/>
  <c r="H1755" i="10"/>
  <c r="G1754" i="10"/>
  <c r="F1754" i="10"/>
  <c r="F1753" i="10" s="1"/>
  <c r="E1754" i="10"/>
  <c r="E1753" i="10" s="1"/>
  <c r="H1751" i="10"/>
  <c r="G1750" i="10"/>
  <c r="G1749" i="10" s="1"/>
  <c r="F1750" i="10"/>
  <c r="F1749" i="10" s="1"/>
  <c r="E1750" i="10"/>
  <c r="E1749" i="10" s="1"/>
  <c r="H1747" i="10"/>
  <c r="H1746" i="10"/>
  <c r="G1745" i="10"/>
  <c r="G1744" i="10" s="1"/>
  <c r="F1745" i="10"/>
  <c r="F1744" i="10" s="1"/>
  <c r="E1745" i="10"/>
  <c r="E1744" i="10" s="1"/>
  <c r="H1742" i="10"/>
  <c r="G1741" i="10"/>
  <c r="F1741" i="10"/>
  <c r="F1740" i="10" s="1"/>
  <c r="E1741" i="10"/>
  <c r="E1740" i="10" s="1"/>
  <c r="H1738" i="10"/>
  <c r="H1737" i="10"/>
  <c r="H1736" i="10"/>
  <c r="G1735" i="10"/>
  <c r="G1734" i="10" s="1"/>
  <c r="F1735" i="10"/>
  <c r="E1735" i="10"/>
  <c r="E1734" i="10" s="1"/>
  <c r="H1732" i="10"/>
  <c r="G1731" i="10"/>
  <c r="G1730" i="10" s="1"/>
  <c r="F1731" i="10"/>
  <c r="F1730" i="10" s="1"/>
  <c r="E1731" i="10"/>
  <c r="E1730" i="10" s="1"/>
  <c r="H1728" i="10"/>
  <c r="H1727" i="10"/>
  <c r="G1726" i="10"/>
  <c r="G1725" i="10" s="1"/>
  <c r="F1726" i="10"/>
  <c r="E1726" i="10"/>
  <c r="E1725" i="10" s="1"/>
  <c r="H1723" i="10"/>
  <c r="G1722" i="10"/>
  <c r="F1722" i="10"/>
  <c r="F1721" i="10" s="1"/>
  <c r="E1722" i="10"/>
  <c r="E1721" i="10" s="1"/>
  <c r="H1719" i="10"/>
  <c r="H1718" i="10"/>
  <c r="G1717" i="10"/>
  <c r="G1716" i="10" s="1"/>
  <c r="F1717" i="10"/>
  <c r="F1716" i="10" s="1"/>
  <c r="E1717" i="10"/>
  <c r="E1716" i="10" s="1"/>
  <c r="H1714" i="10"/>
  <c r="H1713" i="10"/>
  <c r="G1712" i="10"/>
  <c r="F1712" i="10"/>
  <c r="E1712" i="10"/>
  <c r="H1710" i="10"/>
  <c r="H1709" i="10"/>
  <c r="H1708" i="10"/>
  <c r="H1707" i="10"/>
  <c r="G1706" i="10"/>
  <c r="G1705" i="10" s="1"/>
  <c r="F1706" i="10"/>
  <c r="E1706" i="10"/>
  <c r="E1705" i="10" s="1"/>
  <c r="H1703" i="10"/>
  <c r="H1702" i="10"/>
  <c r="H1701" i="10"/>
  <c r="E1701" i="10"/>
  <c r="E1700" i="10" s="1"/>
  <c r="E1699" i="10" s="1"/>
  <c r="G1700" i="10"/>
  <c r="G1699" i="10" s="1"/>
  <c r="F1700" i="10"/>
  <c r="H1697" i="10"/>
  <c r="G1696" i="10"/>
  <c r="F1696" i="10"/>
  <c r="F1695" i="10" s="1"/>
  <c r="E1696" i="10"/>
  <c r="E1695" i="10" s="1"/>
  <c r="H1693" i="10"/>
  <c r="H1692" i="10"/>
  <c r="G1691" i="10"/>
  <c r="F1691" i="10"/>
  <c r="F1690" i="10" s="1"/>
  <c r="E1691" i="10"/>
  <c r="E1690" i="10" s="1"/>
  <c r="H1688" i="10"/>
  <c r="G1687" i="10"/>
  <c r="G1686" i="10" s="1"/>
  <c r="F1687" i="10"/>
  <c r="E1687" i="10"/>
  <c r="E1686" i="10" s="1"/>
  <c r="H1684" i="10"/>
  <c r="H1683" i="10"/>
  <c r="G1682" i="10"/>
  <c r="F1682" i="10"/>
  <c r="F1681" i="10" s="1"/>
  <c r="E1682" i="10"/>
  <c r="E1681" i="10" s="1"/>
  <c r="H1679" i="10"/>
  <c r="H1678" i="10"/>
  <c r="G1677" i="10"/>
  <c r="F1677" i="10"/>
  <c r="E1677" i="10"/>
  <c r="H1675" i="10"/>
  <c r="H1674" i="10"/>
  <c r="G1673" i="10"/>
  <c r="F1673" i="10"/>
  <c r="E1673" i="10"/>
  <c r="H1671" i="10"/>
  <c r="G1670" i="10"/>
  <c r="F1670" i="10"/>
  <c r="F1669" i="10" s="1"/>
  <c r="E1670" i="10"/>
  <c r="E1669" i="10" s="1"/>
  <c r="H1665" i="10"/>
  <c r="G1664" i="10"/>
  <c r="G1663" i="10" s="1"/>
  <c r="F1664" i="10"/>
  <c r="F1663" i="10" s="1"/>
  <c r="E1664" i="10"/>
  <c r="E1663" i="10" s="1"/>
  <c r="H1661" i="10"/>
  <c r="G1660" i="10"/>
  <c r="F1660" i="10"/>
  <c r="E1660" i="10"/>
  <c r="H1658" i="10"/>
  <c r="H1657" i="10"/>
  <c r="E1656" i="10"/>
  <c r="H1654" i="10"/>
  <c r="H1653" i="10"/>
  <c r="H1652" i="10"/>
  <c r="H1651" i="10"/>
  <c r="G1650" i="10"/>
  <c r="F1650" i="10"/>
  <c r="F1649" i="10" s="1"/>
  <c r="F1648" i="10" s="1"/>
  <c r="E1650" i="10"/>
  <c r="H1646" i="10"/>
  <c r="G1645" i="10"/>
  <c r="F1645" i="10"/>
  <c r="E1645" i="10"/>
  <c r="H1643" i="10"/>
  <c r="H1642" i="10"/>
  <c r="H1641" i="10"/>
  <c r="G1640" i="10"/>
  <c r="F1640" i="10"/>
  <c r="E1640" i="10"/>
  <c r="H1636" i="10"/>
  <c r="G1635" i="10"/>
  <c r="F1635" i="10"/>
  <c r="E1635" i="10"/>
  <c r="H1633" i="10"/>
  <c r="H1632" i="10"/>
  <c r="H1631" i="10"/>
  <c r="G1630" i="10"/>
  <c r="F1630" i="10"/>
  <c r="E1630" i="10"/>
  <c r="H1626" i="10"/>
  <c r="H1625" i="10"/>
  <c r="G1624" i="10"/>
  <c r="F1624" i="10"/>
  <c r="E1624" i="10"/>
  <c r="H1622" i="10"/>
  <c r="H1621" i="10"/>
  <c r="H1620" i="10"/>
  <c r="G1619" i="10"/>
  <c r="E1619" i="10"/>
  <c r="H1615" i="10"/>
  <c r="H1614" i="10"/>
  <c r="G1613" i="10"/>
  <c r="F1613" i="10"/>
  <c r="E1613" i="10"/>
  <c r="H1611" i="10"/>
  <c r="H1610" i="10"/>
  <c r="H1609" i="10"/>
  <c r="G1608" i="10"/>
  <c r="F1608" i="10"/>
  <c r="E1608" i="10"/>
  <c r="H1604" i="10"/>
  <c r="G1603" i="10"/>
  <c r="G1602" i="10" s="1"/>
  <c r="F1603" i="10"/>
  <c r="F1602" i="10" s="1"/>
  <c r="F1601" i="10" s="1"/>
  <c r="E1603" i="10"/>
  <c r="E1602" i="10" s="1"/>
  <c r="E1601" i="10" s="1"/>
  <c r="H1600" i="10"/>
  <c r="H1599" i="10"/>
  <c r="H1598" i="10"/>
  <c r="H1597" i="10"/>
  <c r="H1596" i="10"/>
  <c r="H1595" i="10"/>
  <c r="H1594" i="10"/>
  <c r="H1593" i="10"/>
  <c r="H1592" i="10"/>
  <c r="H1591" i="10"/>
  <c r="H1590" i="10"/>
  <c r="H1589" i="10"/>
  <c r="H1588" i="10"/>
  <c r="H1587" i="10"/>
  <c r="H1586" i="10"/>
  <c r="H1585" i="10"/>
  <c r="F1583" i="10"/>
  <c r="F1582" i="10" s="1"/>
  <c r="E1584" i="10"/>
  <c r="E1583" i="10" s="1"/>
  <c r="E1582" i="10" s="1"/>
  <c r="H1581" i="10"/>
  <c r="H1580" i="10"/>
  <c r="G1579" i="10"/>
  <c r="G1578" i="10" s="1"/>
  <c r="G1577" i="10" s="1"/>
  <c r="G1576" i="10" s="1"/>
  <c r="F1579" i="10"/>
  <c r="E1579" i="10"/>
  <c r="E1578" i="10" s="1"/>
  <c r="E1577" i="10" s="1"/>
  <c r="E1576" i="10" s="1"/>
  <c r="H1575" i="10"/>
  <c r="G1574" i="10"/>
  <c r="F1574" i="10"/>
  <c r="E1574" i="10"/>
  <c r="H1572" i="10"/>
  <c r="H1571" i="10"/>
  <c r="H1570" i="10"/>
  <c r="E1570" i="10"/>
  <c r="E1568" i="10" s="1"/>
  <c r="H1569" i="10"/>
  <c r="G1568" i="10"/>
  <c r="H1566" i="10"/>
  <c r="H1565" i="10"/>
  <c r="H1564" i="10"/>
  <c r="H1563" i="10"/>
  <c r="H1562" i="10"/>
  <c r="E1561" i="10"/>
  <c r="H1556" i="10"/>
  <c r="G1555" i="10"/>
  <c r="F1555" i="10"/>
  <c r="E1555" i="10"/>
  <c r="H1553" i="10"/>
  <c r="G1552" i="10"/>
  <c r="F1552" i="10"/>
  <c r="F1551" i="10" s="1"/>
  <c r="E1552" i="10"/>
  <c r="E1551" i="10" s="1"/>
  <c r="H1548" i="10"/>
  <c r="G1547" i="10"/>
  <c r="F1547" i="10"/>
  <c r="E1547" i="10"/>
  <c r="H1545" i="10"/>
  <c r="H1544" i="10"/>
  <c r="H1543" i="10"/>
  <c r="H1542" i="10"/>
  <c r="H1541" i="10"/>
  <c r="H1540" i="10"/>
  <c r="H1539" i="10"/>
  <c r="H1538" i="10"/>
  <c r="H1537" i="10"/>
  <c r="H1536" i="10"/>
  <c r="H1535" i="10"/>
  <c r="H1534" i="10"/>
  <c r="H1533" i="10"/>
  <c r="H1532" i="10"/>
  <c r="H1531" i="10"/>
  <c r="G1530" i="10"/>
  <c r="F1530" i="10"/>
  <c r="E1530" i="10"/>
  <c r="H1528" i="10"/>
  <c r="H1527" i="10"/>
  <c r="H1526" i="10"/>
  <c r="H1525" i="10"/>
  <c r="H1524" i="10"/>
  <c r="H1523" i="10"/>
  <c r="G1522" i="10"/>
  <c r="F1522" i="10"/>
  <c r="E1522" i="10"/>
  <c r="H1518" i="10"/>
  <c r="G1517" i="10"/>
  <c r="G1516" i="10" s="1"/>
  <c r="G1515" i="10" s="1"/>
  <c r="F1517" i="10"/>
  <c r="E1517" i="10"/>
  <c r="E1516" i="10" s="1"/>
  <c r="E1515" i="10" s="1"/>
  <c r="H1514" i="10"/>
  <c r="H1513" i="10"/>
  <c r="G1512" i="10"/>
  <c r="G1511" i="10" s="1"/>
  <c r="F1512" i="10"/>
  <c r="F1511" i="10" s="1"/>
  <c r="F1510" i="10" s="1"/>
  <c r="E1512" i="10"/>
  <c r="E1511" i="10" s="1"/>
  <c r="E1510" i="10" s="1"/>
  <c r="E1509" i="10" s="1"/>
  <c r="H1507" i="10"/>
  <c r="G1506" i="10"/>
  <c r="F1506" i="10"/>
  <c r="F1505" i="10" s="1"/>
  <c r="E1506" i="10"/>
  <c r="E1505" i="10" s="1"/>
  <c r="H1503" i="10"/>
  <c r="G1502" i="10"/>
  <c r="G1501" i="10" s="1"/>
  <c r="F1502" i="10"/>
  <c r="F1501" i="10" s="1"/>
  <c r="E1502" i="10"/>
  <c r="E1501" i="10" s="1"/>
  <c r="H1499" i="10"/>
  <c r="H1498" i="10"/>
  <c r="G1497" i="10"/>
  <c r="F1497" i="10"/>
  <c r="E1497" i="10"/>
  <c r="H1495" i="10"/>
  <c r="H1494" i="10"/>
  <c r="H1493" i="10"/>
  <c r="H1492" i="10"/>
  <c r="H1491" i="10"/>
  <c r="H1490" i="10"/>
  <c r="G1489" i="10"/>
  <c r="F1489" i="10"/>
  <c r="E1489" i="10"/>
  <c r="H1487" i="10"/>
  <c r="H1486" i="10"/>
  <c r="H1485" i="10"/>
  <c r="H1484" i="10"/>
  <c r="G1483" i="10"/>
  <c r="F1483" i="10"/>
  <c r="E1483" i="10"/>
  <c r="H1479" i="10"/>
  <c r="H1478" i="10"/>
  <c r="G1477" i="10"/>
  <c r="F1477" i="10"/>
  <c r="E1477" i="10"/>
  <c r="H1475" i="10"/>
  <c r="H1474" i="10"/>
  <c r="H1473" i="10"/>
  <c r="H1472" i="10"/>
  <c r="H1471" i="10"/>
  <c r="H1470" i="10"/>
  <c r="G1469" i="10"/>
  <c r="F1469" i="10"/>
  <c r="E1469" i="10"/>
  <c r="H1467" i="10"/>
  <c r="H1466" i="10"/>
  <c r="H1465" i="10"/>
  <c r="H1464" i="10"/>
  <c r="H1463" i="10"/>
  <c r="H1462" i="10"/>
  <c r="H1461" i="10"/>
  <c r="G1460" i="10"/>
  <c r="F1460" i="10"/>
  <c r="E1460" i="10"/>
  <c r="H1455" i="10"/>
  <c r="H1454" i="10"/>
  <c r="H1453" i="10"/>
  <c r="H1452" i="10"/>
  <c r="H1451" i="10"/>
  <c r="H1450" i="10"/>
  <c r="G1449" i="10"/>
  <c r="F1449" i="10"/>
  <c r="F1448" i="10" s="1"/>
  <c r="F1447" i="10" s="1"/>
  <c r="E1449" i="10"/>
  <c r="E1448" i="10" s="1"/>
  <c r="E1447" i="10" s="1"/>
  <c r="H1446" i="10"/>
  <c r="H1445" i="10"/>
  <c r="G1444" i="10"/>
  <c r="F1444" i="10"/>
  <c r="F1443" i="10" s="1"/>
  <c r="E1444" i="10"/>
  <c r="E1443" i="10" s="1"/>
  <c r="H1441" i="10"/>
  <c r="E1441" i="10"/>
  <c r="H1440" i="10"/>
  <c r="E1440" i="10"/>
  <c r="H1439" i="10"/>
  <c r="E1439" i="10"/>
  <c r="H1438" i="10"/>
  <c r="E1438" i="10"/>
  <c r="H1437" i="10"/>
  <c r="E1437" i="10"/>
  <c r="H1436" i="10"/>
  <c r="E1436" i="10"/>
  <c r="H1435" i="10"/>
  <c r="E1435" i="10"/>
  <c r="H1434" i="10"/>
  <c r="E1434" i="10"/>
  <c r="H1433" i="10"/>
  <c r="E1433" i="10"/>
  <c r="H1432" i="10"/>
  <c r="E1432" i="10"/>
  <c r="H1431" i="10"/>
  <c r="H1430" i="10"/>
  <c r="H1429" i="10"/>
  <c r="H1428" i="10"/>
  <c r="H1427" i="10"/>
  <c r="E1427" i="10"/>
  <c r="H1426" i="10"/>
  <c r="E1426" i="10"/>
  <c r="H1425" i="10"/>
  <c r="E1425" i="10"/>
  <c r="H1424" i="10"/>
  <c r="E1424" i="10"/>
  <c r="H1423" i="10"/>
  <c r="E1423" i="10"/>
  <c r="H1422" i="10"/>
  <c r="E1422" i="10"/>
  <c r="H1421" i="10"/>
  <c r="E1421" i="10"/>
  <c r="H1420" i="10"/>
  <c r="E1420" i="10"/>
  <c r="H1419" i="10"/>
  <c r="E1419" i="10"/>
  <c r="H1418" i="10"/>
  <c r="E1418" i="10"/>
  <c r="H1417" i="10"/>
  <c r="E1417" i="10"/>
  <c r="H1416" i="10"/>
  <c r="E1416" i="10"/>
  <c r="H1415" i="10"/>
  <c r="H1414" i="10"/>
  <c r="E1414" i="10"/>
  <c r="H1413" i="10"/>
  <c r="E1413" i="10"/>
  <c r="H1412" i="10"/>
  <c r="E1412" i="10"/>
  <c r="H1411" i="10"/>
  <c r="E1411" i="10"/>
  <c r="H1410" i="10"/>
  <c r="E1410" i="10"/>
  <c r="H1409" i="10"/>
  <c r="E1409" i="10"/>
  <c r="H1408" i="10"/>
  <c r="E1408" i="10"/>
  <c r="H1407" i="10"/>
  <c r="E1407" i="10"/>
  <c r="H1406" i="10"/>
  <c r="E1406" i="10"/>
  <c r="H1405" i="10"/>
  <c r="E1405" i="10"/>
  <c r="H1404" i="10"/>
  <c r="E1404" i="10"/>
  <c r="H1403" i="10"/>
  <c r="G1402" i="10"/>
  <c r="F1402" i="10"/>
  <c r="H1400" i="10"/>
  <c r="H1399" i="10"/>
  <c r="G1398" i="10"/>
  <c r="F1398" i="10"/>
  <c r="E1398" i="10"/>
  <c r="H1396" i="10"/>
  <c r="H1395" i="10"/>
  <c r="H1394" i="10"/>
  <c r="H1393" i="10"/>
  <c r="H1392" i="10"/>
  <c r="H1391" i="10"/>
  <c r="H1390" i="10"/>
  <c r="H1389" i="10"/>
  <c r="H1388" i="10"/>
  <c r="H1387" i="10"/>
  <c r="H1386" i="10"/>
  <c r="H1385" i="10"/>
  <c r="H1384" i="10"/>
  <c r="H1383" i="10"/>
  <c r="H1382" i="10"/>
  <c r="H1381" i="10"/>
  <c r="H1380" i="10"/>
  <c r="H1379" i="10"/>
  <c r="G1377" i="10"/>
  <c r="F1377" i="10"/>
  <c r="E1377" i="10"/>
  <c r="H1375" i="10"/>
  <c r="H1374" i="10"/>
  <c r="H1373" i="10"/>
  <c r="H1372" i="10"/>
  <c r="H1371" i="10"/>
  <c r="H1370" i="10"/>
  <c r="G1369" i="10"/>
  <c r="F1369" i="10"/>
  <c r="E1369" i="10"/>
  <c r="H1365" i="10"/>
  <c r="G1364" i="10"/>
  <c r="F1364" i="10"/>
  <c r="F1363" i="10" s="1"/>
  <c r="E1364" i="10"/>
  <c r="E1363" i="10" s="1"/>
  <c r="H1361" i="10"/>
  <c r="H1360" i="10"/>
  <c r="H1359" i="10"/>
  <c r="G1358" i="10"/>
  <c r="F1358" i="10"/>
  <c r="F1357" i="10" s="1"/>
  <c r="E1358" i="10"/>
  <c r="E1357" i="10" s="1"/>
  <c r="H1354" i="10"/>
  <c r="H1353" i="10"/>
  <c r="H1352" i="10"/>
  <c r="G1351" i="10"/>
  <c r="G1350" i="10" s="1"/>
  <c r="F1351" i="10"/>
  <c r="E1351" i="10"/>
  <c r="E1350" i="10" s="1"/>
  <c r="H1348" i="10"/>
  <c r="H1347" i="10"/>
  <c r="H1346" i="10"/>
  <c r="H1345" i="10"/>
  <c r="H1344" i="10"/>
  <c r="H1343" i="10"/>
  <c r="H1342" i="10"/>
  <c r="H1341" i="10"/>
  <c r="H1340" i="10"/>
  <c r="H1339" i="10"/>
  <c r="H1338" i="10"/>
  <c r="H1337" i="10"/>
  <c r="H1336" i="10"/>
  <c r="H1335" i="10"/>
  <c r="H1334" i="10"/>
  <c r="H1333" i="10"/>
  <c r="H1332" i="10"/>
  <c r="H1331" i="10"/>
  <c r="H1330" i="10"/>
  <c r="H1329" i="10"/>
  <c r="H1328" i="10"/>
  <c r="H1327" i="10"/>
  <c r="H1326" i="10"/>
  <c r="H1325" i="10"/>
  <c r="H1324" i="10"/>
  <c r="H1323" i="10"/>
  <c r="H1322" i="10"/>
  <c r="H1321" i="10"/>
  <c r="H1320" i="10"/>
  <c r="H1319" i="10"/>
  <c r="H1318" i="10"/>
  <c r="H1317" i="10"/>
  <c r="H1316" i="10"/>
  <c r="H1315" i="10"/>
  <c r="H1314" i="10"/>
  <c r="G1313" i="10"/>
  <c r="F1313" i="10"/>
  <c r="E1313" i="10"/>
  <c r="H1310" i="10"/>
  <c r="H1309" i="10"/>
  <c r="H1308" i="10"/>
  <c r="H1307" i="10"/>
  <c r="H1306" i="10"/>
  <c r="G1301" i="10"/>
  <c r="G1300" i="10" s="1"/>
  <c r="F1301" i="10"/>
  <c r="F1300" i="10" s="1"/>
  <c r="E1301" i="10"/>
  <c r="E1300" i="10" s="1"/>
  <c r="H1297" i="10"/>
  <c r="G1296" i="10"/>
  <c r="F1296" i="10"/>
  <c r="F1295" i="10" s="1"/>
  <c r="F1294" i="10" s="1"/>
  <c r="F1293" i="10" s="1"/>
  <c r="E1296" i="10"/>
  <c r="E1295" i="10" s="1"/>
  <c r="E1294" i="10" s="1"/>
  <c r="E1293" i="10" s="1"/>
  <c r="H1292" i="10"/>
  <c r="H1291" i="10"/>
  <c r="H1290" i="10"/>
  <c r="G1289" i="10"/>
  <c r="F1289" i="10"/>
  <c r="E1289" i="10"/>
  <c r="H1287" i="10"/>
  <c r="H1286" i="10"/>
  <c r="H1285" i="10"/>
  <c r="G1284" i="10"/>
  <c r="G1283" i="10" s="1"/>
  <c r="F1284" i="10"/>
  <c r="F1283" i="10" s="1"/>
  <c r="E1284" i="10"/>
  <c r="E1283" i="10" s="1"/>
  <c r="H1281" i="10"/>
  <c r="H1280" i="10"/>
  <c r="H1279" i="10"/>
  <c r="H1278" i="10"/>
  <c r="H1277" i="10"/>
  <c r="H1276" i="10"/>
  <c r="H1275" i="10"/>
  <c r="H1274" i="10"/>
  <c r="H1273" i="10"/>
  <c r="H1272" i="10"/>
  <c r="H1271" i="10"/>
  <c r="H1270" i="10"/>
  <c r="H1269" i="10"/>
  <c r="H1268" i="10"/>
  <c r="H1267" i="10"/>
  <c r="H1266" i="10"/>
  <c r="H1265" i="10"/>
  <c r="H1264" i="10"/>
  <c r="H1263" i="10"/>
  <c r="H1262" i="10"/>
  <c r="H1261" i="10"/>
  <c r="H1260" i="10"/>
  <c r="H1259" i="10"/>
  <c r="H1258" i="10"/>
  <c r="H1257" i="10"/>
  <c r="G1256" i="10"/>
  <c r="F1256" i="10"/>
  <c r="F1255" i="10" s="1"/>
  <c r="E1256" i="10"/>
  <c r="E1255" i="10" s="1"/>
  <c r="H1253" i="10"/>
  <c r="H1252" i="10"/>
  <c r="G1251" i="10"/>
  <c r="F1251" i="10"/>
  <c r="F1250" i="10" s="1"/>
  <c r="E1251" i="10"/>
  <c r="E1250" i="10" s="1"/>
  <c r="H1248" i="10"/>
  <c r="G1247" i="10"/>
  <c r="F1247" i="10"/>
  <c r="E1247" i="10"/>
  <c r="H1245" i="10"/>
  <c r="G1244" i="10"/>
  <c r="F1244" i="10"/>
  <c r="E1244" i="10"/>
  <c r="H1242" i="10"/>
  <c r="H1241" i="10"/>
  <c r="H1240" i="10"/>
  <c r="H1239" i="10"/>
  <c r="H1238" i="10"/>
  <c r="H1237" i="10"/>
  <c r="H1236" i="10"/>
  <c r="H1235" i="10"/>
  <c r="H1234" i="10"/>
  <c r="H1233" i="10"/>
  <c r="H1231" i="10"/>
  <c r="H1230" i="10"/>
  <c r="H1229" i="10"/>
  <c r="H1228" i="10"/>
  <c r="H1227" i="10"/>
  <c r="H1226" i="10"/>
  <c r="H1225" i="10"/>
  <c r="H1224" i="10"/>
  <c r="H1223" i="10"/>
  <c r="G1222" i="10"/>
  <c r="F1222" i="10"/>
  <c r="E1222" i="10"/>
  <c r="H1220" i="10"/>
  <c r="H1219" i="10"/>
  <c r="H1218" i="10"/>
  <c r="H1217" i="10"/>
  <c r="H1216" i="10"/>
  <c r="H1215" i="10"/>
  <c r="G1214" i="10"/>
  <c r="F1214" i="10"/>
  <c r="E1214" i="10"/>
  <c r="H1210" i="10"/>
  <c r="G1209" i="10"/>
  <c r="G1208" i="10" s="1"/>
  <c r="F1209" i="10"/>
  <c r="F1208" i="10" s="1"/>
  <c r="F1207" i="10" s="1"/>
  <c r="E1209" i="10"/>
  <c r="E1208" i="10" s="1"/>
  <c r="E1207" i="10" s="1"/>
  <c r="H1205" i="10"/>
  <c r="G1204" i="10"/>
  <c r="F1204" i="10"/>
  <c r="E1204" i="10"/>
  <c r="H1202" i="10"/>
  <c r="G1201" i="10"/>
  <c r="F1201" i="10"/>
  <c r="E1201" i="10"/>
  <c r="H1199" i="10"/>
  <c r="G1198" i="10"/>
  <c r="F1198" i="10"/>
  <c r="E1198" i="10"/>
  <c r="H1196" i="10"/>
  <c r="G1195" i="10"/>
  <c r="F1195" i="10"/>
  <c r="E1195" i="10"/>
  <c r="H1191" i="10"/>
  <c r="G1190" i="10"/>
  <c r="F1190" i="10"/>
  <c r="E1190" i="10"/>
  <c r="H1188" i="10"/>
  <c r="G1187" i="10"/>
  <c r="F1187" i="10"/>
  <c r="E1187" i="10"/>
  <c r="H1185" i="10"/>
  <c r="H1184" i="10"/>
  <c r="H1183" i="10"/>
  <c r="H1182" i="10"/>
  <c r="G1181" i="10"/>
  <c r="F1181" i="10"/>
  <c r="E1181" i="10"/>
  <c r="H1177" i="10"/>
  <c r="G1176" i="10"/>
  <c r="F1176" i="10"/>
  <c r="F1175" i="10" s="1"/>
  <c r="E1176" i="10"/>
  <c r="E1175" i="10" s="1"/>
  <c r="H1173" i="10"/>
  <c r="H1172" i="10"/>
  <c r="H1171" i="10"/>
  <c r="G1170" i="10"/>
  <c r="F1170" i="10"/>
  <c r="E1170" i="10"/>
  <c r="H1168" i="10"/>
  <c r="H1167" i="10"/>
  <c r="H1166" i="10"/>
  <c r="G1165" i="10"/>
  <c r="G1164" i="10" s="1"/>
  <c r="F1165" i="10"/>
  <c r="E1165" i="10"/>
  <c r="E1164" i="10" s="1"/>
  <c r="H1161" i="10"/>
  <c r="G1160" i="10"/>
  <c r="G1159" i="10" s="1"/>
  <c r="G1158" i="10" s="1"/>
  <c r="F1160" i="10"/>
  <c r="F1159" i="10" s="1"/>
  <c r="F1158" i="10" s="1"/>
  <c r="E1160" i="10"/>
  <c r="E1159" i="10" s="1"/>
  <c r="E1158" i="10" s="1"/>
  <c r="H1157" i="10"/>
  <c r="G1156" i="10"/>
  <c r="F1156" i="10"/>
  <c r="F1155" i="10" s="1"/>
  <c r="E1156" i="10"/>
  <c r="E1155" i="10" s="1"/>
  <c r="H1153" i="10"/>
  <c r="G1152" i="10"/>
  <c r="F1152" i="10"/>
  <c r="E1152" i="10"/>
  <c r="H1150" i="10"/>
  <c r="G1149" i="10"/>
  <c r="G1148" i="10" s="1"/>
  <c r="F1149" i="10"/>
  <c r="F1148" i="10" s="1"/>
  <c r="E1149" i="10"/>
  <c r="E1148" i="10" s="1"/>
  <c r="H1145" i="10"/>
  <c r="G1144" i="10"/>
  <c r="G1143" i="10" s="1"/>
  <c r="G1142" i="10" s="1"/>
  <c r="F1144" i="10"/>
  <c r="F1143" i="10" s="1"/>
  <c r="F1142" i="10" s="1"/>
  <c r="E1144" i="10"/>
  <c r="E1143" i="10" s="1"/>
  <c r="E1142" i="10" s="1"/>
  <c r="H1141" i="10"/>
  <c r="G1140" i="10"/>
  <c r="F1140" i="10"/>
  <c r="F1139" i="10" s="1"/>
  <c r="E1140" i="10"/>
  <c r="E1139" i="10" s="1"/>
  <c r="H1137" i="10"/>
  <c r="G1136" i="10"/>
  <c r="F1136" i="10"/>
  <c r="F1135" i="10" s="1"/>
  <c r="E1136" i="10"/>
  <c r="E1135" i="10" s="1"/>
  <c r="H1133" i="10"/>
  <c r="G1132" i="10"/>
  <c r="F1132" i="10"/>
  <c r="F1131" i="10" s="1"/>
  <c r="E1132" i="10"/>
  <c r="E1131" i="10" s="1"/>
  <c r="H1129" i="10"/>
  <c r="G1128" i="10"/>
  <c r="F1128" i="10"/>
  <c r="F1127" i="10" s="1"/>
  <c r="E1128" i="10"/>
  <c r="E1127" i="10" s="1"/>
  <c r="H1125" i="10"/>
  <c r="G1124" i="10"/>
  <c r="G1883" i="10" s="1"/>
  <c r="F1124" i="10"/>
  <c r="F1883" i="10" s="1"/>
  <c r="E1124" i="10"/>
  <c r="E1883" i="10" s="1"/>
  <c r="H1121" i="10"/>
  <c r="H1120" i="10"/>
  <c r="G1119" i="10"/>
  <c r="G1118" i="10" s="1"/>
  <c r="G1117" i="10" s="1"/>
  <c r="F1119" i="10"/>
  <c r="E1119" i="10"/>
  <c r="E1118" i="10" s="1"/>
  <c r="E1117" i="10" s="1"/>
  <c r="H1116" i="10"/>
  <c r="E1116" i="10"/>
  <c r="E1114" i="10" s="1"/>
  <c r="E1113" i="10" s="1"/>
  <c r="H1115" i="10"/>
  <c r="G1114" i="10"/>
  <c r="G1113" i="10" s="1"/>
  <c r="F1114" i="10"/>
  <c r="F1113" i="10" s="1"/>
  <c r="H1111" i="10"/>
  <c r="G1110" i="10"/>
  <c r="F1110" i="10"/>
  <c r="E1110" i="10"/>
  <c r="H1108" i="10"/>
  <c r="G1107" i="10"/>
  <c r="F1107" i="10"/>
  <c r="F1106" i="10" s="1"/>
  <c r="E1107" i="10"/>
  <c r="E1106" i="10" s="1"/>
  <c r="H1102" i="10"/>
  <c r="H1101" i="10"/>
  <c r="H1100" i="10"/>
  <c r="G1099" i="10"/>
  <c r="G1098" i="10" s="1"/>
  <c r="F1099" i="10"/>
  <c r="E1099" i="10"/>
  <c r="E1098" i="10" s="1"/>
  <c r="H1096" i="10"/>
  <c r="H1095" i="10"/>
  <c r="H1094" i="10"/>
  <c r="H1093" i="10"/>
  <c r="H1092" i="10"/>
  <c r="H1091" i="10"/>
  <c r="H1090" i="10"/>
  <c r="H1089" i="10"/>
  <c r="H1088" i="10"/>
  <c r="H1087" i="10"/>
  <c r="H1086" i="10"/>
  <c r="H1085" i="10"/>
  <c r="H1084" i="10"/>
  <c r="H1083" i="10"/>
  <c r="H1082" i="10"/>
  <c r="H1081" i="10"/>
  <c r="H1080" i="10"/>
  <c r="H1079" i="10"/>
  <c r="H1078" i="10"/>
  <c r="H1077" i="10"/>
  <c r="H1076" i="10"/>
  <c r="H1075" i="10"/>
  <c r="H1074" i="10"/>
  <c r="H1073" i="10"/>
  <c r="H1072" i="10"/>
  <c r="H1071" i="10"/>
  <c r="G1070" i="10"/>
  <c r="F1070" i="10"/>
  <c r="E1070" i="10"/>
  <c r="H1068" i="10"/>
  <c r="H1067" i="10"/>
  <c r="H1066" i="10"/>
  <c r="G1065" i="10"/>
  <c r="F1065" i="10"/>
  <c r="E1065" i="10"/>
  <c r="H1063" i="10"/>
  <c r="H1062" i="10"/>
  <c r="H1061" i="10"/>
  <c r="H1060" i="10"/>
  <c r="G1059" i="10"/>
  <c r="F1059" i="10"/>
  <c r="E1059" i="10"/>
  <c r="H1057" i="10"/>
  <c r="H1056" i="10"/>
  <c r="H1055" i="10"/>
  <c r="H1054" i="10"/>
  <c r="G1053" i="10"/>
  <c r="F1053" i="10"/>
  <c r="E1053" i="10"/>
  <c r="H1051" i="10"/>
  <c r="H1050" i="10"/>
  <c r="H1049" i="10"/>
  <c r="H1048" i="10"/>
  <c r="G1047" i="10"/>
  <c r="F1047" i="10"/>
  <c r="E1047" i="10"/>
  <c r="H1043" i="10"/>
  <c r="H1042" i="10"/>
  <c r="G1041" i="10"/>
  <c r="G1040" i="10" s="1"/>
  <c r="F1041" i="10"/>
  <c r="F1040" i="10" s="1"/>
  <c r="F1039" i="10" s="1"/>
  <c r="F1038" i="10" s="1"/>
  <c r="E1041" i="10"/>
  <c r="E1040" i="10" s="1"/>
  <c r="E1039" i="10" s="1"/>
  <c r="E1038" i="10" s="1"/>
  <c r="H1037" i="10"/>
  <c r="G1036" i="10"/>
  <c r="G1035" i="10" s="1"/>
  <c r="F1036" i="10"/>
  <c r="F1035" i="10" s="1"/>
  <c r="E1036" i="10"/>
  <c r="E1035" i="10" s="1"/>
  <c r="H1033" i="10"/>
  <c r="H1032" i="10"/>
  <c r="H1031" i="10"/>
  <c r="H1030" i="10"/>
  <c r="H1029" i="10"/>
  <c r="H1028" i="10"/>
  <c r="H1027" i="10"/>
  <c r="H1026" i="10"/>
  <c r="H1025" i="10"/>
  <c r="H1024" i="10"/>
  <c r="G1023" i="10"/>
  <c r="F1023" i="10"/>
  <c r="E1023" i="10"/>
  <c r="H1021" i="10"/>
  <c r="H1020" i="10"/>
  <c r="G1019" i="10"/>
  <c r="F1019" i="10"/>
  <c r="E1019" i="10"/>
  <c r="H1017" i="10"/>
  <c r="H1016" i="10"/>
  <c r="H1015" i="10"/>
  <c r="H1014" i="10"/>
  <c r="H1013" i="10"/>
  <c r="H1012" i="10"/>
  <c r="H1011" i="10"/>
  <c r="H1010" i="10"/>
  <c r="H1009" i="10"/>
  <c r="H1008" i="10"/>
  <c r="H1007" i="10"/>
  <c r="H1006" i="10"/>
  <c r="H1005" i="10"/>
  <c r="H1004" i="10"/>
  <c r="G1003" i="10"/>
  <c r="F1003" i="10"/>
  <c r="E1003" i="10"/>
  <c r="H1001" i="10"/>
  <c r="H1000" i="10"/>
  <c r="H999" i="10"/>
  <c r="H998" i="10"/>
  <c r="H997" i="10"/>
  <c r="H996" i="10"/>
  <c r="G995" i="10"/>
  <c r="F995" i="10"/>
  <c r="E995" i="10"/>
  <c r="H991" i="10"/>
  <c r="G990" i="10"/>
  <c r="F990" i="10"/>
  <c r="F989" i="10" s="1"/>
  <c r="E990" i="10"/>
  <c r="E989" i="10" s="1"/>
  <c r="H987" i="10"/>
  <c r="H986" i="10"/>
  <c r="H985" i="10"/>
  <c r="H984" i="10"/>
  <c r="H983" i="10"/>
  <c r="H982" i="10"/>
  <c r="H981" i="10"/>
  <c r="H980" i="10"/>
  <c r="H979" i="10"/>
  <c r="H978" i="10"/>
  <c r="H977" i="10"/>
  <c r="H976" i="10"/>
  <c r="H975" i="10"/>
  <c r="H974" i="10"/>
  <c r="H973" i="10"/>
  <c r="H972" i="10"/>
  <c r="H971" i="10"/>
  <c r="H970" i="10"/>
  <c r="H969" i="10"/>
  <c r="H968" i="10"/>
  <c r="H967" i="10"/>
  <c r="H966" i="10"/>
  <c r="H965" i="10"/>
  <c r="H964" i="10"/>
  <c r="H963" i="10"/>
  <c r="H962" i="10"/>
  <c r="H961" i="10"/>
  <c r="H960" i="10"/>
  <c r="H959" i="10"/>
  <c r="H958" i="10"/>
  <c r="G957" i="10"/>
  <c r="F957" i="10"/>
  <c r="E957" i="10"/>
  <c r="H955" i="10"/>
  <c r="H954" i="10"/>
  <c r="G953" i="10"/>
  <c r="F953" i="10"/>
  <c r="E953" i="10"/>
  <c r="H951" i="10"/>
  <c r="H950" i="10"/>
  <c r="H949" i="10"/>
  <c r="H948" i="10"/>
  <c r="H947" i="10"/>
  <c r="H946" i="10"/>
  <c r="H945" i="10"/>
  <c r="H944" i="10"/>
  <c r="H943" i="10"/>
  <c r="H942" i="10"/>
  <c r="H941" i="10"/>
  <c r="H940" i="10"/>
  <c r="H939" i="10"/>
  <c r="H938" i="10"/>
  <c r="G937" i="10"/>
  <c r="F937" i="10"/>
  <c r="E937" i="10"/>
  <c r="H935" i="10"/>
  <c r="H934" i="10"/>
  <c r="H933" i="10"/>
  <c r="H932" i="10"/>
  <c r="H931" i="10"/>
  <c r="H930" i="10"/>
  <c r="H929" i="10"/>
  <c r="H928" i="10"/>
  <c r="G927" i="10"/>
  <c r="F927" i="10"/>
  <c r="E927" i="10"/>
  <c r="H923" i="10"/>
  <c r="H922" i="10"/>
  <c r="G921" i="10"/>
  <c r="F921" i="10"/>
  <c r="F920" i="10" s="1"/>
  <c r="E921" i="10"/>
  <c r="E920" i="10" s="1"/>
  <c r="H918" i="10"/>
  <c r="H917" i="10"/>
  <c r="H916" i="10"/>
  <c r="G915" i="10"/>
  <c r="F915" i="10"/>
  <c r="E915" i="10"/>
  <c r="H913" i="10"/>
  <c r="H912" i="10"/>
  <c r="H911" i="10"/>
  <c r="H910" i="10"/>
  <c r="H909" i="10"/>
  <c r="H908" i="10"/>
  <c r="H907" i="10"/>
  <c r="H906" i="10"/>
  <c r="H905" i="10"/>
  <c r="H904" i="10"/>
  <c r="H903" i="10"/>
  <c r="H902" i="10"/>
  <c r="H901" i="10"/>
  <c r="H900" i="10"/>
  <c r="H899" i="10"/>
  <c r="H898" i="10"/>
  <c r="H897" i="10"/>
  <c r="G896" i="10"/>
  <c r="F896" i="10"/>
  <c r="E896" i="10"/>
  <c r="H894" i="10"/>
  <c r="H893" i="10"/>
  <c r="H892" i="10"/>
  <c r="H891" i="10"/>
  <c r="H890" i="10"/>
  <c r="H889" i="10"/>
  <c r="H888" i="10"/>
  <c r="H887" i="10"/>
  <c r="G886" i="10"/>
  <c r="F886" i="10"/>
  <c r="E886" i="10"/>
  <c r="H882" i="10"/>
  <c r="H881" i="10"/>
  <c r="G880" i="10"/>
  <c r="F880" i="10"/>
  <c r="E880" i="10"/>
  <c r="H878" i="10"/>
  <c r="H877" i="10"/>
  <c r="H876" i="10"/>
  <c r="H875" i="10"/>
  <c r="G874" i="10"/>
  <c r="F874" i="10"/>
  <c r="E874" i="10"/>
  <c r="H872" i="10"/>
  <c r="H871" i="10"/>
  <c r="H870" i="10"/>
  <c r="H869" i="10"/>
  <c r="H868" i="10"/>
  <c r="G867" i="10"/>
  <c r="F867" i="10"/>
  <c r="E867" i="10"/>
  <c r="H863" i="10"/>
  <c r="H862" i="10"/>
  <c r="G861" i="10"/>
  <c r="F861" i="10"/>
  <c r="E861" i="10"/>
  <c r="H859" i="10"/>
  <c r="H858" i="10"/>
  <c r="H857" i="10"/>
  <c r="H856" i="10"/>
  <c r="H855" i="10"/>
  <c r="H854" i="10"/>
  <c r="H853" i="10"/>
  <c r="H852" i="10"/>
  <c r="H851" i="10"/>
  <c r="H850" i="10"/>
  <c r="H849" i="10"/>
  <c r="H848" i="10"/>
  <c r="H847" i="10"/>
  <c r="G846" i="10"/>
  <c r="F846" i="10"/>
  <c r="E846" i="10"/>
  <c r="H844" i="10"/>
  <c r="H843" i="10"/>
  <c r="H842" i="10"/>
  <c r="H841" i="10"/>
  <c r="H840" i="10"/>
  <c r="H839" i="10"/>
  <c r="H838" i="10"/>
  <c r="H837" i="10"/>
  <c r="G836" i="10"/>
  <c r="F836" i="10"/>
  <c r="E836" i="10"/>
  <c r="H832" i="10"/>
  <c r="G831" i="10"/>
  <c r="G830" i="10" s="1"/>
  <c r="G829" i="10" s="1"/>
  <c r="F831" i="10"/>
  <c r="E831" i="10"/>
  <c r="E830" i="10" s="1"/>
  <c r="E829" i="10" s="1"/>
  <c r="H827" i="10"/>
  <c r="G826" i="10"/>
  <c r="G825" i="10" s="1"/>
  <c r="F826" i="10"/>
  <c r="F825" i="10" s="1"/>
  <c r="E826" i="10"/>
  <c r="E825" i="10" s="1"/>
  <c r="H823" i="10"/>
  <c r="E823" i="10"/>
  <c r="E822" i="10" s="1"/>
  <c r="E821" i="10" s="1"/>
  <c r="E820" i="10" s="1"/>
  <c r="G822" i="10"/>
  <c r="F822" i="10"/>
  <c r="F821" i="10" s="1"/>
  <c r="F820" i="10" s="1"/>
  <c r="G816" i="10"/>
  <c r="G815" i="10" s="1"/>
  <c r="G814" i="10" s="1"/>
  <c r="F816" i="10"/>
  <c r="F815" i="10" s="1"/>
  <c r="F814" i="10" s="1"/>
  <c r="E816" i="10"/>
  <c r="E815" i="10" s="1"/>
  <c r="E814" i="10" s="1"/>
  <c r="H813" i="10"/>
  <c r="G812" i="10"/>
  <c r="F812" i="10"/>
  <c r="F811" i="10" s="1"/>
  <c r="F810" i="10" s="1"/>
  <c r="E812" i="10"/>
  <c r="E811" i="10" s="1"/>
  <c r="E810" i="10" s="1"/>
  <c r="H808" i="10"/>
  <c r="G807" i="10"/>
  <c r="F807" i="10"/>
  <c r="F806" i="10" s="1"/>
  <c r="F805" i="10" s="1"/>
  <c r="F804" i="10" s="1"/>
  <c r="E807" i="10"/>
  <c r="E806" i="10" s="1"/>
  <c r="E805" i="10" s="1"/>
  <c r="E804" i="10" s="1"/>
  <c r="H803" i="10"/>
  <c r="G802" i="10"/>
  <c r="F802" i="10"/>
  <c r="F801" i="10" s="1"/>
  <c r="F800" i="10" s="1"/>
  <c r="E802" i="10"/>
  <c r="E801" i="10" s="1"/>
  <c r="E800" i="10" s="1"/>
  <c r="H799" i="10"/>
  <c r="G798" i="10"/>
  <c r="G797" i="10" s="1"/>
  <c r="F798" i="10"/>
  <c r="E798" i="10"/>
  <c r="E797" i="10" s="1"/>
  <c r="H795" i="10"/>
  <c r="G794" i="10"/>
  <c r="G793" i="10" s="1"/>
  <c r="F794" i="10"/>
  <c r="E794" i="10"/>
  <c r="E793" i="10" s="1"/>
  <c r="H791" i="10"/>
  <c r="G790" i="10"/>
  <c r="G789" i="10" s="1"/>
  <c r="G788" i="10" s="1"/>
  <c r="F790" i="10"/>
  <c r="F789" i="10" s="1"/>
  <c r="F788" i="10" s="1"/>
  <c r="E790" i="10"/>
  <c r="E789" i="10" s="1"/>
  <c r="E788" i="10" s="1"/>
  <c r="H787" i="10"/>
  <c r="G786" i="10"/>
  <c r="G785" i="10" s="1"/>
  <c r="F786" i="10"/>
  <c r="F785" i="10" s="1"/>
  <c r="F784" i="10" s="1"/>
  <c r="E786" i="10"/>
  <c r="E785" i="10" s="1"/>
  <c r="E784" i="10" s="1"/>
  <c r="H783" i="10"/>
  <c r="G782" i="10"/>
  <c r="F782" i="10"/>
  <c r="F781" i="10" s="1"/>
  <c r="E782" i="10"/>
  <c r="E781" i="10" s="1"/>
  <c r="H780" i="10"/>
  <c r="G779" i="10"/>
  <c r="G778" i="10" s="1"/>
  <c r="F779" i="10"/>
  <c r="F778" i="10" s="1"/>
  <c r="E779" i="10"/>
  <c r="E778" i="10" s="1"/>
  <c r="H775" i="10"/>
  <c r="H772" i="10"/>
  <c r="H771" i="10"/>
  <c r="H770" i="10"/>
  <c r="H769" i="10"/>
  <c r="H766" i="10"/>
  <c r="H765" i="10"/>
  <c r="H764" i="10"/>
  <c r="E764" i="10"/>
  <c r="E760" i="10" s="1"/>
  <c r="H763" i="10"/>
  <c r="H762" i="10"/>
  <c r="H761" i="10"/>
  <c r="H758" i="10"/>
  <c r="H757" i="10"/>
  <c r="H756" i="10"/>
  <c r="H755" i="10"/>
  <c r="H754" i="10"/>
  <c r="H753" i="10"/>
  <c r="H752" i="10"/>
  <c r="H750" i="10"/>
  <c r="H749" i="10"/>
  <c r="H748" i="10"/>
  <c r="H747" i="10"/>
  <c r="E747" i="10"/>
  <c r="E743" i="10" s="1"/>
  <c r="E742" i="10" s="1"/>
  <c r="H746" i="10"/>
  <c r="H745" i="10"/>
  <c r="H744" i="10"/>
  <c r="G743" i="10"/>
  <c r="G742" i="10" s="1"/>
  <c r="F743" i="10"/>
  <c r="F742" i="10" s="1"/>
  <c r="H740" i="10"/>
  <c r="H739" i="10"/>
  <c r="E739" i="10"/>
  <c r="H738" i="10"/>
  <c r="H737" i="10"/>
  <c r="E737" i="10"/>
  <c r="H736" i="10"/>
  <c r="E736" i="10"/>
  <c r="H735" i="10"/>
  <c r="H734" i="10"/>
  <c r="H733" i="10"/>
  <c r="H732" i="10"/>
  <c r="H731" i="10"/>
  <c r="H730" i="10"/>
  <c r="E730" i="10"/>
  <c r="H729" i="10"/>
  <c r="E729" i="10"/>
  <c r="H728" i="10"/>
  <c r="E728" i="10"/>
  <c r="H727" i="10"/>
  <c r="H726" i="10"/>
  <c r="H725" i="10"/>
  <c r="H724" i="10"/>
  <c r="H723" i="10"/>
  <c r="H722" i="10"/>
  <c r="H721" i="10"/>
  <c r="H720" i="10"/>
  <c r="E720" i="10"/>
  <c r="H719" i="10"/>
  <c r="E719" i="10"/>
  <c r="H718" i="10"/>
  <c r="E718" i="10"/>
  <c r="H717" i="10"/>
  <c r="H715" i="10"/>
  <c r="H714" i="10"/>
  <c r="H713" i="10"/>
  <c r="H712" i="10"/>
  <c r="H711" i="10"/>
  <c r="H710" i="10"/>
  <c r="H709" i="10"/>
  <c r="E709" i="10"/>
  <c r="H708" i="10"/>
  <c r="E708" i="10"/>
  <c r="H707" i="10"/>
  <c r="H706" i="10"/>
  <c r="H705" i="10"/>
  <c r="H704" i="10"/>
  <c r="E704" i="10"/>
  <c r="H703" i="10"/>
  <c r="E703" i="10"/>
  <c r="H702" i="10"/>
  <c r="H701" i="10"/>
  <c r="E701" i="10"/>
  <c r="H700" i="10"/>
  <c r="E700" i="10"/>
  <c r="H699" i="10"/>
  <c r="H698" i="10"/>
  <c r="E698" i="10"/>
  <c r="H697" i="10"/>
  <c r="E697" i="10"/>
  <c r="H696" i="10"/>
  <c r="E696" i="10"/>
  <c r="H695" i="10"/>
  <c r="E695" i="10"/>
  <c r="H694" i="10"/>
  <c r="H693" i="10"/>
  <c r="H692" i="10"/>
  <c r="H691" i="10"/>
  <c r="H690" i="10"/>
  <c r="H689" i="10"/>
  <c r="H688" i="10"/>
  <c r="H687" i="10"/>
  <c r="H686" i="10"/>
  <c r="G685" i="10"/>
  <c r="H683" i="10"/>
  <c r="G682" i="10"/>
  <c r="F682" i="10"/>
  <c r="E682" i="10"/>
  <c r="H680" i="10"/>
  <c r="G679" i="10"/>
  <c r="F679" i="10"/>
  <c r="E679" i="10"/>
  <c r="H677" i="10"/>
  <c r="E677" i="10"/>
  <c r="H676" i="10"/>
  <c r="H675" i="10"/>
  <c r="E675" i="10"/>
  <c r="H674" i="10"/>
  <c r="E674" i="10"/>
  <c r="H673" i="10"/>
  <c r="E673" i="10"/>
  <c r="H672" i="10"/>
  <c r="H671" i="10"/>
  <c r="E671" i="10"/>
  <c r="H670" i="10"/>
  <c r="E670" i="10"/>
  <c r="H668" i="10"/>
  <c r="E668" i="10"/>
  <c r="H667" i="10"/>
  <c r="G661" i="10"/>
  <c r="F661" i="10"/>
  <c r="H664" i="10"/>
  <c r="H663" i="10"/>
  <c r="E662" i="10"/>
  <c r="H658" i="10"/>
  <c r="G657" i="10"/>
  <c r="F657" i="10"/>
  <c r="E657" i="10"/>
  <c r="H652" i="10"/>
  <c r="H651" i="10"/>
  <c r="H650" i="10"/>
  <c r="G649" i="10"/>
  <c r="F649" i="10"/>
  <c r="E649" i="10"/>
  <c r="H646" i="10"/>
  <c r="H645" i="10"/>
  <c r="H644" i="10"/>
  <c r="G643" i="10"/>
  <c r="F643" i="10"/>
  <c r="E643" i="10"/>
  <c r="H639" i="10"/>
  <c r="G638" i="10"/>
  <c r="F638" i="10"/>
  <c r="F637" i="10" s="1"/>
  <c r="E638" i="10"/>
  <c r="E637" i="10" s="1"/>
  <c r="H635" i="10"/>
  <c r="H634" i="10"/>
  <c r="H633" i="10"/>
  <c r="H632" i="10"/>
  <c r="H630" i="10"/>
  <c r="H628" i="10"/>
  <c r="H627" i="10"/>
  <c r="H626" i="10"/>
  <c r="G625" i="10"/>
  <c r="F625" i="10"/>
  <c r="E625" i="10"/>
  <c r="H623" i="10"/>
  <c r="H622" i="10"/>
  <c r="G621" i="10"/>
  <c r="F621" i="10"/>
  <c r="E621" i="10"/>
  <c r="H619" i="10"/>
  <c r="H618" i="10"/>
  <c r="H617" i="10"/>
  <c r="H616" i="10"/>
  <c r="E616" i="10"/>
  <c r="H615" i="10"/>
  <c r="H614" i="10"/>
  <c r="E614" i="10"/>
  <c r="H613" i="10"/>
  <c r="E613" i="10"/>
  <c r="G612" i="10"/>
  <c r="F612" i="10"/>
  <c r="H610" i="10"/>
  <c r="E610" i="10"/>
  <c r="E607" i="10" s="1"/>
  <c r="H609" i="10"/>
  <c r="H608" i="10"/>
  <c r="G607" i="10"/>
  <c r="F607" i="10"/>
  <c r="H603" i="10"/>
  <c r="H602" i="10"/>
  <c r="G601" i="10"/>
  <c r="F601" i="10"/>
  <c r="E601" i="10"/>
  <c r="H599" i="10"/>
  <c r="H598" i="10"/>
  <c r="H597" i="10"/>
  <c r="G596" i="10"/>
  <c r="F596" i="10"/>
  <c r="E596" i="10"/>
  <c r="H592" i="10"/>
  <c r="H591" i="10"/>
  <c r="H590" i="10"/>
  <c r="H589" i="10"/>
  <c r="H588" i="10"/>
  <c r="H587" i="10"/>
  <c r="H586" i="10"/>
  <c r="G585" i="10"/>
  <c r="F585" i="10"/>
  <c r="E585" i="10"/>
  <c r="H583" i="10"/>
  <c r="H582" i="10"/>
  <c r="H581" i="10"/>
  <c r="H580" i="10"/>
  <c r="H579" i="10"/>
  <c r="H578" i="10"/>
  <c r="E578" i="10"/>
  <c r="H577" i="10"/>
  <c r="H576" i="10"/>
  <c r="H575" i="10"/>
  <c r="E575" i="10"/>
  <c r="G574" i="10"/>
  <c r="F574" i="10"/>
  <c r="F573" i="10" s="1"/>
  <c r="H571" i="10"/>
  <c r="H570" i="10"/>
  <c r="H569" i="10"/>
  <c r="H568" i="10"/>
  <c r="H567" i="10"/>
  <c r="H566" i="10"/>
  <c r="H565" i="10"/>
  <c r="H564" i="10"/>
  <c r="H563" i="10"/>
  <c r="E563" i="10"/>
  <c r="H562" i="10"/>
  <c r="E562" i="10"/>
  <c r="H561" i="10"/>
  <c r="E561" i="10"/>
  <c r="H560" i="10"/>
  <c r="E560" i="10"/>
  <c r="H559" i="10"/>
  <c r="E559" i="10"/>
  <c r="H558" i="10"/>
  <c r="E558" i="10"/>
  <c r="H557" i="10"/>
  <c r="E557" i="10"/>
  <c r="H556" i="10"/>
  <c r="H555" i="10"/>
  <c r="H554" i="10"/>
  <c r="E554" i="10"/>
  <c r="H553" i="10"/>
  <c r="E553" i="10"/>
  <c r="H552" i="10"/>
  <c r="H551" i="10"/>
  <c r="H550" i="10"/>
  <c r="H549" i="10"/>
  <c r="H548" i="10"/>
  <c r="H547" i="10"/>
  <c r="H546" i="10"/>
  <c r="E546" i="10"/>
  <c r="H545" i="10"/>
  <c r="E545" i="10"/>
  <c r="H544" i="10"/>
  <c r="H543" i="10"/>
  <c r="E543" i="10"/>
  <c r="H542" i="10"/>
  <c r="E542" i="10"/>
  <c r="H541" i="10"/>
  <c r="H540" i="10"/>
  <c r="H539" i="10"/>
  <c r="H538" i="10"/>
  <c r="H537" i="10"/>
  <c r="H536" i="10"/>
  <c r="H535" i="10"/>
  <c r="H534" i="10"/>
  <c r="H533" i="10"/>
  <c r="H532" i="10"/>
  <c r="H531" i="10"/>
  <c r="H530" i="10"/>
  <c r="H529" i="10"/>
  <c r="G528" i="10"/>
  <c r="F528" i="10"/>
  <c r="H526" i="10"/>
  <c r="H525" i="10"/>
  <c r="E525" i="10"/>
  <c r="E524" i="10" s="1"/>
  <c r="G524" i="10"/>
  <c r="F524" i="10"/>
  <c r="H522" i="10"/>
  <c r="E522" i="10"/>
  <c r="H521" i="10"/>
  <c r="E521" i="10"/>
  <c r="H520" i="10"/>
  <c r="H519" i="10"/>
  <c r="E519" i="10"/>
  <c r="H518" i="10"/>
  <c r="E518" i="10"/>
  <c r="H517" i="10"/>
  <c r="H516" i="10"/>
  <c r="E516" i="10"/>
  <c r="H515" i="10"/>
  <c r="E515" i="10"/>
  <c r="H514" i="10"/>
  <c r="E514" i="10"/>
  <c r="H513" i="10"/>
  <c r="E513" i="10"/>
  <c r="H512" i="10"/>
  <c r="E512" i="10"/>
  <c r="H511" i="10"/>
  <c r="H510" i="10"/>
  <c r="E510" i="10"/>
  <c r="H509" i="10"/>
  <c r="H508" i="10"/>
  <c r="E508" i="10"/>
  <c r="H507" i="10"/>
  <c r="E507" i="10"/>
  <c r="H506" i="10"/>
  <c r="E506" i="10"/>
  <c r="H505" i="10"/>
  <c r="E505" i="10"/>
  <c r="H504" i="10"/>
  <c r="E504" i="10"/>
  <c r="H503" i="10"/>
  <c r="E503" i="10"/>
  <c r="H502" i="10"/>
  <c r="E502" i="10"/>
  <c r="H501" i="10"/>
  <c r="E501" i="10"/>
  <c r="G500" i="10"/>
  <c r="F500" i="10"/>
  <c r="H498" i="10"/>
  <c r="E498" i="10"/>
  <c r="H497" i="10"/>
  <c r="E497" i="10"/>
  <c r="H496" i="10"/>
  <c r="E496" i="10"/>
  <c r="H495" i="10"/>
  <c r="E495" i="10"/>
  <c r="H494" i="10"/>
  <c r="E494" i="10"/>
  <c r="H493" i="10"/>
  <c r="E493" i="10"/>
  <c r="G492" i="10"/>
  <c r="F492" i="10"/>
  <c r="H488" i="10"/>
  <c r="G487" i="10"/>
  <c r="F487" i="10"/>
  <c r="E487" i="10"/>
  <c r="H485" i="10"/>
  <c r="H484" i="10"/>
  <c r="H483" i="10"/>
  <c r="H482" i="10"/>
  <c r="H481" i="10"/>
  <c r="F480" i="10"/>
  <c r="E480" i="10"/>
  <c r="H478" i="10"/>
  <c r="G477" i="10"/>
  <c r="G476" i="10" s="1"/>
  <c r="F477" i="10"/>
  <c r="E477" i="10"/>
  <c r="H473" i="10"/>
  <c r="H472" i="10"/>
  <c r="H471" i="10"/>
  <c r="H470" i="10"/>
  <c r="H469" i="10"/>
  <c r="H468" i="10"/>
  <c r="G467" i="10"/>
  <c r="G466" i="10" s="1"/>
  <c r="G465" i="10" s="1"/>
  <c r="F467" i="10"/>
  <c r="F466" i="10" s="1"/>
  <c r="F465" i="10" s="1"/>
  <c r="F464" i="10" s="1"/>
  <c r="E467" i="10"/>
  <c r="E466" i="10" s="1"/>
  <c r="E465" i="10" s="1"/>
  <c r="E464" i="10" s="1"/>
  <c r="H462" i="10"/>
  <c r="H461" i="10"/>
  <c r="G460" i="10"/>
  <c r="F460" i="10"/>
  <c r="F459" i="10" s="1"/>
  <c r="E460" i="10"/>
  <c r="E459" i="10" s="1"/>
  <c r="H457" i="10"/>
  <c r="H456" i="10"/>
  <c r="H455" i="10"/>
  <c r="H454" i="10"/>
  <c r="H453" i="10"/>
  <c r="H452" i="10"/>
  <c r="H451" i="10"/>
  <c r="H449" i="10"/>
  <c r="H448" i="10"/>
  <c r="H447" i="10"/>
  <c r="H446" i="10"/>
  <c r="G445" i="10"/>
  <c r="F445" i="10"/>
  <c r="E445" i="10"/>
  <c r="H443" i="10"/>
  <c r="H442" i="10"/>
  <c r="G441" i="10"/>
  <c r="F441" i="10"/>
  <c r="E441" i="10"/>
  <c r="G438" i="10"/>
  <c r="G437" i="10" s="1"/>
  <c r="F438" i="10"/>
  <c r="F437" i="10" s="1"/>
  <c r="E438" i="10"/>
  <c r="E437" i="10" s="1"/>
  <c r="H434" i="10"/>
  <c r="H433" i="10"/>
  <c r="G432" i="10"/>
  <c r="F432" i="10"/>
  <c r="E432" i="10"/>
  <c r="H430" i="10"/>
  <c r="G429" i="10"/>
  <c r="G428" i="10" s="1"/>
  <c r="F429" i="10"/>
  <c r="F428" i="10" s="1"/>
  <c r="E429" i="10"/>
  <c r="E428" i="10" s="1"/>
  <c r="H424" i="10"/>
  <c r="H423" i="10"/>
  <c r="H422" i="10"/>
  <c r="H421" i="10"/>
  <c r="H418" i="10"/>
  <c r="H417" i="10"/>
  <c r="H416" i="10"/>
  <c r="H415" i="10"/>
  <c r="H414" i="10"/>
  <c r="E412" i="10"/>
  <c r="H410" i="10"/>
  <c r="H409" i="10"/>
  <c r="E408" i="10"/>
  <c r="H406" i="10"/>
  <c r="H405" i="10"/>
  <c r="H404" i="10"/>
  <c r="H403" i="10"/>
  <c r="H402" i="10"/>
  <c r="H401" i="10"/>
  <c r="H400" i="10"/>
  <c r="H399" i="10"/>
  <c r="H398" i="10"/>
  <c r="H397" i="10"/>
  <c r="F395" i="10"/>
  <c r="E396" i="10"/>
  <c r="E395" i="10" s="1"/>
  <c r="H391" i="10"/>
  <c r="H390" i="10"/>
  <c r="H389" i="10"/>
  <c r="G388" i="10"/>
  <c r="E388" i="10"/>
  <c r="H386" i="10"/>
  <c r="H385" i="10"/>
  <c r="H384" i="10"/>
  <c r="E383" i="10"/>
  <c r="H379" i="10"/>
  <c r="G378" i="10"/>
  <c r="G377" i="10" s="1"/>
  <c r="G376" i="10" s="1"/>
  <c r="F378" i="10"/>
  <c r="F377" i="10" s="1"/>
  <c r="F376" i="10" s="1"/>
  <c r="E378" i="10"/>
  <c r="E377" i="10" s="1"/>
  <c r="E376" i="10" s="1"/>
  <c r="H374" i="10"/>
  <c r="G373" i="10"/>
  <c r="G372" i="10" s="1"/>
  <c r="F373" i="10"/>
  <c r="F372" i="10" s="1"/>
  <c r="F371" i="10" s="1"/>
  <c r="E373" i="10"/>
  <c r="E372" i="10" s="1"/>
  <c r="E371" i="10" s="1"/>
  <c r="H366" i="10"/>
  <c r="H365" i="10"/>
  <c r="H364" i="10"/>
  <c r="H363" i="10"/>
  <c r="H362" i="10"/>
  <c r="G361" i="10"/>
  <c r="F360" i="10"/>
  <c r="E361" i="10"/>
  <c r="E360" i="10" s="1"/>
  <c r="H358" i="10"/>
  <c r="G357" i="10"/>
  <c r="F357" i="10"/>
  <c r="E357" i="10"/>
  <c r="H355" i="10"/>
  <c r="H354" i="10"/>
  <c r="H353" i="10"/>
  <c r="H352" i="10"/>
  <c r="H351" i="10"/>
  <c r="H350" i="10"/>
  <c r="H349" i="10"/>
  <c r="H348" i="10"/>
  <c r="G346" i="10"/>
  <c r="F346" i="10"/>
  <c r="E347" i="10"/>
  <c r="E346" i="10" s="1"/>
  <c r="H342" i="10"/>
  <c r="G341" i="10"/>
  <c r="F341" i="10"/>
  <c r="E341" i="10"/>
  <c r="H339" i="10"/>
  <c r="H338" i="10"/>
  <c r="H337" i="10"/>
  <c r="H336" i="10"/>
  <c r="H335" i="10"/>
  <c r="E334" i="10"/>
  <c r="H330" i="10"/>
  <c r="G329" i="10"/>
  <c r="E329" i="10"/>
  <c r="H327" i="10"/>
  <c r="E327" i="10"/>
  <c r="E324" i="10" s="1"/>
  <c r="E323" i="10" s="1"/>
  <c r="H326" i="10"/>
  <c r="H325" i="10"/>
  <c r="H319" i="10"/>
  <c r="G318" i="10"/>
  <c r="F318" i="10"/>
  <c r="E318" i="10"/>
  <c r="H316" i="10"/>
  <c r="H315" i="10"/>
  <c r="H314" i="10"/>
  <c r="H313" i="10"/>
  <c r="H312" i="10"/>
  <c r="G311" i="10"/>
  <c r="F311" i="10"/>
  <c r="E311" i="10"/>
  <c r="H307" i="10"/>
  <c r="H306" i="10"/>
  <c r="G305" i="10"/>
  <c r="G304" i="10" s="1"/>
  <c r="F305" i="10"/>
  <c r="F304" i="10" s="1"/>
  <c r="F303" i="10" s="1"/>
  <c r="E305" i="10"/>
  <c r="E304" i="10" s="1"/>
  <c r="E303" i="10" s="1"/>
  <c r="H302" i="10"/>
  <c r="H301" i="10"/>
  <c r="G300" i="10"/>
  <c r="F300" i="10"/>
  <c r="F299" i="10" s="1"/>
  <c r="E300" i="10"/>
  <c r="E299" i="10" s="1"/>
  <c r="H297" i="10"/>
  <c r="G296" i="10"/>
  <c r="F296" i="10"/>
  <c r="F295" i="10" s="1"/>
  <c r="E296" i="10"/>
  <c r="E295" i="10" s="1"/>
  <c r="H293" i="10"/>
  <c r="G292" i="10"/>
  <c r="F292" i="10"/>
  <c r="F291" i="10" s="1"/>
  <c r="E292" i="10"/>
  <c r="E291" i="10" s="1"/>
  <c r="H289" i="10"/>
  <c r="G288" i="10"/>
  <c r="G287" i="10" s="1"/>
  <c r="F288" i="10"/>
  <c r="E288" i="10"/>
  <c r="E287" i="10" s="1"/>
  <c r="H285" i="10"/>
  <c r="G284" i="10"/>
  <c r="G283" i="10" s="1"/>
  <c r="G282" i="10" s="1"/>
  <c r="F284" i="10"/>
  <c r="F283" i="10" s="1"/>
  <c r="F282" i="10" s="1"/>
  <c r="E284" i="10"/>
  <c r="E283" i="10" s="1"/>
  <c r="E282" i="10" s="1"/>
  <c r="H281" i="10"/>
  <c r="H280" i="10"/>
  <c r="H279" i="10"/>
  <c r="H278" i="10"/>
  <c r="H277" i="10"/>
  <c r="H276" i="10"/>
  <c r="H275" i="10"/>
  <c r="G274" i="10"/>
  <c r="F274" i="10"/>
  <c r="E274" i="10"/>
  <c r="H272" i="10"/>
  <c r="H271" i="10"/>
  <c r="H270" i="10"/>
  <c r="H269" i="10"/>
  <c r="H268" i="10"/>
  <c r="H267" i="10"/>
  <c r="H266" i="10"/>
  <c r="H265" i="10"/>
  <c r="H264" i="10"/>
  <c r="H263" i="10"/>
  <c r="G262" i="10"/>
  <c r="F262" i="10"/>
  <c r="F261" i="10" s="1"/>
  <c r="E262" i="10"/>
  <c r="E261" i="10" s="1"/>
  <c r="H259" i="10"/>
  <c r="H258" i="10"/>
  <c r="H257" i="10"/>
  <c r="H256" i="10"/>
  <c r="H255" i="10"/>
  <c r="H254" i="10"/>
  <c r="H253" i="10"/>
  <c r="H252" i="10"/>
  <c r="H251" i="10"/>
  <c r="H250" i="10"/>
  <c r="H248" i="10"/>
  <c r="H247" i="10"/>
  <c r="H246" i="10"/>
  <c r="H245" i="10"/>
  <c r="G244" i="10"/>
  <c r="F244" i="10"/>
  <c r="F242" i="10" s="1"/>
  <c r="F241" i="10" s="1"/>
  <c r="E244" i="10"/>
  <c r="E242" i="10" s="1"/>
  <c r="E241" i="10" s="1"/>
  <c r="H239" i="10"/>
  <c r="G238" i="10"/>
  <c r="F238" i="10"/>
  <c r="E238" i="10"/>
  <c r="H236" i="10"/>
  <c r="G235" i="10"/>
  <c r="F235" i="10"/>
  <c r="F234" i="10" s="1"/>
  <c r="E235" i="10"/>
  <c r="E234" i="10" s="1"/>
  <c r="H231" i="10"/>
  <c r="H230" i="10"/>
  <c r="H229" i="10"/>
  <c r="H228" i="10"/>
  <c r="H227" i="10"/>
  <c r="G226" i="10"/>
  <c r="F226" i="10"/>
  <c r="E226" i="10"/>
  <c r="H224" i="10"/>
  <c r="G223" i="10"/>
  <c r="F223" i="10"/>
  <c r="F222" i="10" s="1"/>
  <c r="E223" i="10"/>
  <c r="E222" i="10" s="1"/>
  <c r="H218" i="10"/>
  <c r="H217" i="10"/>
  <c r="H216" i="10"/>
  <c r="H215" i="10"/>
  <c r="H214" i="10"/>
  <c r="H213" i="10"/>
  <c r="H210" i="10"/>
  <c r="H209" i="10"/>
  <c r="H208" i="10"/>
  <c r="H207" i="10"/>
  <c r="H206" i="10"/>
  <c r="H205" i="10"/>
  <c r="H204" i="10"/>
  <c r="G203" i="10"/>
  <c r="G202" i="10" s="1"/>
  <c r="F203" i="10"/>
  <c r="F202" i="10" s="1"/>
  <c r="E203" i="10"/>
  <c r="E202" i="10" s="1"/>
  <c r="H200" i="10"/>
  <c r="H199" i="10"/>
  <c r="H198" i="10"/>
  <c r="G197" i="10"/>
  <c r="G196" i="10" s="1"/>
  <c r="G195" i="10" s="1"/>
  <c r="F197" i="10"/>
  <c r="F196" i="10" s="1"/>
  <c r="F195" i="10" s="1"/>
  <c r="E197" i="10"/>
  <c r="E196" i="10" s="1"/>
  <c r="E195" i="10" s="1"/>
  <c r="H193" i="10"/>
  <c r="H192" i="10"/>
  <c r="H191" i="10"/>
  <c r="G190" i="10"/>
  <c r="F190" i="10"/>
  <c r="E190" i="10"/>
  <c r="H188" i="10"/>
  <c r="H187" i="10"/>
  <c r="H186" i="10"/>
  <c r="G185" i="10"/>
  <c r="F185" i="10"/>
  <c r="F184" i="10" s="1"/>
  <c r="E185" i="10"/>
  <c r="E184" i="10" s="1"/>
  <c r="H182" i="10"/>
  <c r="H181" i="10"/>
  <c r="H180" i="10"/>
  <c r="G179" i="10"/>
  <c r="F179" i="10"/>
  <c r="E179" i="10"/>
  <c r="H177" i="10"/>
  <c r="H176" i="10"/>
  <c r="H175" i="10"/>
  <c r="G174" i="10"/>
  <c r="F174" i="10"/>
  <c r="F173" i="10" s="1"/>
  <c r="E174" i="10"/>
  <c r="E173" i="10" s="1"/>
  <c r="H169" i="10"/>
  <c r="G168" i="10"/>
  <c r="G167" i="10" s="1"/>
  <c r="F168" i="10"/>
  <c r="F167" i="10" s="1"/>
  <c r="E168" i="10"/>
  <c r="E167" i="10" s="1"/>
  <c r="H165" i="10"/>
  <c r="H164" i="10"/>
  <c r="H163" i="10"/>
  <c r="H162" i="10"/>
  <c r="H161" i="10"/>
  <c r="H160" i="10"/>
  <c r="H159" i="10"/>
  <c r="H158" i="10"/>
  <c r="H157" i="10"/>
  <c r="H156" i="10"/>
  <c r="H155" i="10"/>
  <c r="H154" i="10"/>
  <c r="H153" i="10"/>
  <c r="H152" i="10"/>
  <c r="H150" i="10"/>
  <c r="F149" i="10"/>
  <c r="E149" i="10"/>
  <c r="H147" i="10"/>
  <c r="H151" i="10"/>
  <c r="H146" i="10"/>
  <c r="G145" i="10"/>
  <c r="F145" i="10"/>
  <c r="E145" i="10"/>
  <c r="H141" i="10"/>
  <c r="H140" i="10"/>
  <c r="H139" i="10"/>
  <c r="H138" i="10"/>
  <c r="H137" i="10"/>
  <c r="H136" i="10"/>
  <c r="H133" i="10"/>
  <c r="H132" i="10"/>
  <c r="H131" i="10"/>
  <c r="H130" i="10"/>
  <c r="H129" i="10"/>
  <c r="H128" i="10"/>
  <c r="H127" i="10"/>
  <c r="H126" i="10"/>
  <c r="H125" i="10"/>
  <c r="H124" i="10"/>
  <c r="H123" i="10"/>
  <c r="H122" i="10"/>
  <c r="H121" i="10"/>
  <c r="H120" i="10"/>
  <c r="G119" i="10"/>
  <c r="G118" i="10" s="1"/>
  <c r="F119" i="10"/>
  <c r="F118" i="10" s="1"/>
  <c r="F117" i="10" s="1"/>
  <c r="F116" i="10" s="1"/>
  <c r="E119" i="10"/>
  <c r="E118" i="10" s="1"/>
  <c r="E117" i="10" s="1"/>
  <c r="E116" i="10" s="1"/>
  <c r="H115" i="10"/>
  <c r="G114" i="10"/>
  <c r="F114" i="10"/>
  <c r="E114" i="10"/>
  <c r="H112" i="10"/>
  <c r="H111" i="10"/>
  <c r="H110" i="10"/>
  <c r="H109" i="10"/>
  <c r="E109" i="10"/>
  <c r="E106" i="10" s="1"/>
  <c r="H108" i="10"/>
  <c r="H107" i="10"/>
  <c r="G106" i="10"/>
  <c r="H104" i="10"/>
  <c r="H103" i="10"/>
  <c r="H102" i="10"/>
  <c r="H101" i="10"/>
  <c r="H100" i="10"/>
  <c r="E99" i="10"/>
  <c r="H95" i="10"/>
  <c r="H94" i="10"/>
  <c r="H93" i="10"/>
  <c r="F91" i="10"/>
  <c r="E92" i="10"/>
  <c r="E91" i="10" s="1"/>
  <c r="H89" i="10"/>
  <c r="H88" i="10"/>
  <c r="G87" i="10"/>
  <c r="F87" i="10"/>
  <c r="E87" i="10"/>
  <c r="H85" i="10"/>
  <c r="H84" i="10"/>
  <c r="F82" i="10"/>
  <c r="E83" i="10"/>
  <c r="E82" i="10" s="1"/>
  <c r="H79" i="10"/>
  <c r="H78" i="10"/>
  <c r="H77" i="10"/>
  <c r="H76" i="10"/>
  <c r="H75" i="10"/>
  <c r="H74" i="10"/>
  <c r="H73" i="10"/>
  <c r="H72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G47" i="10"/>
  <c r="G46" i="10" s="1"/>
  <c r="G45" i="10" s="1"/>
  <c r="F47" i="10"/>
  <c r="E47" i="10"/>
  <c r="H44" i="10"/>
  <c r="G43" i="10"/>
  <c r="G42" i="10" s="1"/>
  <c r="F43" i="10"/>
  <c r="F42" i="10" s="1"/>
  <c r="E43" i="10"/>
  <c r="E42" i="10" s="1"/>
  <c r="H40" i="10"/>
  <c r="G39" i="10"/>
  <c r="F39" i="10"/>
  <c r="F8" i="10" s="1"/>
  <c r="E39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E18" i="10"/>
  <c r="H16" i="10"/>
  <c r="H15" i="10"/>
  <c r="H14" i="10"/>
  <c r="H13" i="10"/>
  <c r="H12" i="10"/>
  <c r="H11" i="10"/>
  <c r="E10" i="10"/>
  <c r="J20" i="6"/>
  <c r="H646" i="1"/>
  <c r="H643" i="1"/>
  <c r="G641" i="1"/>
  <c r="H640" i="1"/>
  <c r="F641" i="1"/>
  <c r="E1882" i="10" l="1"/>
  <c r="G1882" i="10"/>
  <c r="F345" i="10"/>
  <c r="F344" i="10" s="1"/>
  <c r="F343" i="10" s="1"/>
  <c r="G475" i="10"/>
  <c r="E46" i="10"/>
  <c r="E45" i="10" s="1"/>
  <c r="F1882" i="10"/>
  <c r="E345" i="10"/>
  <c r="E344" i="10" s="1"/>
  <c r="E343" i="10" s="1"/>
  <c r="E172" i="10"/>
  <c r="E171" i="10" s="1"/>
  <c r="F172" i="10"/>
  <c r="F171" i="10" s="1"/>
  <c r="E333" i="10"/>
  <c r="E332" i="10" s="1"/>
  <c r="E331" i="10" s="1"/>
  <c r="F98" i="10"/>
  <c r="F97" i="10" s="1"/>
  <c r="F96" i="10" s="1"/>
  <c r="H662" i="10"/>
  <c r="F1560" i="10"/>
  <c r="H1506" i="10"/>
  <c r="G1607" i="10"/>
  <c r="G1606" i="10" s="1"/>
  <c r="G1605" i="10" s="1"/>
  <c r="H1070" i="10"/>
  <c r="F221" i="10"/>
  <c r="F220" i="10" s="1"/>
  <c r="F1046" i="10"/>
  <c r="F1045" i="10" s="1"/>
  <c r="F1521" i="10"/>
  <c r="F1520" i="10" s="1"/>
  <c r="F1519" i="10" s="1"/>
  <c r="G1840" i="10"/>
  <c r="G1839" i="10" s="1"/>
  <c r="E1668" i="10"/>
  <c r="E1667" i="10" s="1"/>
  <c r="E1180" i="10"/>
  <c r="E1179" i="10" s="1"/>
  <c r="E1178" i="10" s="1"/>
  <c r="E1772" i="10"/>
  <c r="E1766" i="10" s="1"/>
  <c r="E1765" i="10" s="1"/>
  <c r="E1764" i="10" s="1"/>
  <c r="E1840" i="10"/>
  <c r="E1839" i="10" s="1"/>
  <c r="E1838" i="10" s="1"/>
  <c r="H212" i="10"/>
  <c r="E221" i="10"/>
  <c r="E220" i="10" s="1"/>
  <c r="E595" i="10"/>
  <c r="E594" i="10" s="1"/>
  <c r="E593" i="10" s="1"/>
  <c r="E1521" i="10"/>
  <c r="E1520" i="10" s="1"/>
  <c r="E1519" i="10" s="1"/>
  <c r="E885" i="10"/>
  <c r="E884" i="10" s="1"/>
  <c r="E883" i="10" s="1"/>
  <c r="H1656" i="10"/>
  <c r="E144" i="10"/>
  <c r="E143" i="10" s="1"/>
  <c r="E142" i="10" s="1"/>
  <c r="E809" i="10"/>
  <c r="F866" i="10"/>
  <c r="F865" i="10" s="1"/>
  <c r="F864" i="10" s="1"/>
  <c r="H1741" i="10"/>
  <c r="G1791" i="10"/>
  <c r="G1790" i="10" s="1"/>
  <c r="G98" i="10"/>
  <c r="G97" i="10" s="1"/>
  <c r="E382" i="10"/>
  <c r="E381" i="10" s="1"/>
  <c r="E380" i="10" s="1"/>
  <c r="E375" i="10" s="1"/>
  <c r="H477" i="10"/>
  <c r="E1607" i="10"/>
  <c r="E1606" i="10" s="1"/>
  <c r="E1605" i="10" s="1"/>
  <c r="H244" i="10"/>
  <c r="H292" i="10"/>
  <c r="H329" i="10"/>
  <c r="F381" i="10"/>
  <c r="F380" i="10" s="1"/>
  <c r="F375" i="10" s="1"/>
  <c r="H1156" i="10"/>
  <c r="H223" i="10"/>
  <c r="H1691" i="10"/>
  <c r="H1772" i="10"/>
  <c r="E1482" i="10"/>
  <c r="E1481" i="10" s="1"/>
  <c r="E1480" i="10" s="1"/>
  <c r="H1682" i="10"/>
  <c r="H1113" i="10"/>
  <c r="E1639" i="10"/>
  <c r="E1638" i="10" s="1"/>
  <c r="E1637" i="10" s="1"/>
  <c r="G1649" i="10"/>
  <c r="G1648" i="10" s="1"/>
  <c r="H1866" i="10"/>
  <c r="H607" i="10"/>
  <c r="E792" i="10"/>
  <c r="F1194" i="10"/>
  <c r="F1193" i="10" s="1"/>
  <c r="F1192" i="10" s="1"/>
  <c r="E436" i="10"/>
  <c r="E435" i="10" s="1"/>
  <c r="H1673" i="10"/>
  <c r="H995" i="10"/>
  <c r="F240" i="10"/>
  <c r="H262" i="10"/>
  <c r="H782" i="10"/>
  <c r="G885" i="10"/>
  <c r="G884" i="10" s="1"/>
  <c r="E1459" i="10"/>
  <c r="E1458" i="10" s="1"/>
  <c r="E1457" i="10" s="1"/>
  <c r="H1469" i="10"/>
  <c r="H282" i="10"/>
  <c r="E574" i="10"/>
  <c r="E573" i="10" s="1"/>
  <c r="F606" i="10"/>
  <c r="F605" i="10" s="1"/>
  <c r="F604" i="10" s="1"/>
  <c r="H880" i="10"/>
  <c r="F994" i="10"/>
  <c r="F993" i="10" s="1"/>
  <c r="F992" i="10" s="1"/>
  <c r="G1147" i="10"/>
  <c r="F1459" i="10"/>
  <c r="F1458" i="10" s="1"/>
  <c r="F1457" i="10" s="1"/>
  <c r="H1744" i="10"/>
  <c r="H361" i="10"/>
  <c r="F310" i="10"/>
  <c r="F309" i="10" s="1"/>
  <c r="F308" i="10" s="1"/>
  <c r="H1477" i="10"/>
  <c r="G1482" i="10"/>
  <c r="G1481" i="10" s="1"/>
  <c r="G1480" i="10" s="1"/>
  <c r="H1613" i="10"/>
  <c r="E1791" i="10"/>
  <c r="E1790" i="10" s="1"/>
  <c r="E1789" i="10" s="1"/>
  <c r="H39" i="10"/>
  <c r="H288" i="10"/>
  <c r="E1046" i="10"/>
  <c r="E1045" i="10" s="1"/>
  <c r="E1044" i="10" s="1"/>
  <c r="H1305" i="10"/>
  <c r="H1777" i="10"/>
  <c r="H1511" i="10"/>
  <c r="G1510" i="10"/>
  <c r="G1509" i="10" s="1"/>
  <c r="H612" i="10"/>
  <c r="H760" i="10"/>
  <c r="H1208" i="10"/>
  <c r="H1853" i="10"/>
  <c r="E98" i="10"/>
  <c r="E97" i="10" s="1"/>
  <c r="E96" i="10" s="1"/>
  <c r="E233" i="10"/>
  <c r="E232" i="10" s="1"/>
  <c r="H324" i="10"/>
  <c r="E394" i="10"/>
  <c r="E393" i="10" s="1"/>
  <c r="E392" i="10" s="1"/>
  <c r="H460" i="10"/>
  <c r="H480" i="10"/>
  <c r="G491" i="10"/>
  <c r="H679" i="10"/>
  <c r="F809" i="10"/>
  <c r="H957" i="10"/>
  <c r="H1136" i="10"/>
  <c r="H1214" i="10"/>
  <c r="H1489" i="10"/>
  <c r="H1547" i="10"/>
  <c r="E1560" i="10"/>
  <c r="E1559" i="10" s="1"/>
  <c r="E1558" i="10" s="1"/>
  <c r="E1689" i="10"/>
  <c r="G1865" i="10"/>
  <c r="H1865" i="10" s="1"/>
  <c r="F1647" i="10"/>
  <c r="G1681" i="10"/>
  <c r="H1681" i="10" s="1"/>
  <c r="H1735" i="10"/>
  <c r="G1743" i="10"/>
  <c r="F1789" i="10"/>
  <c r="H185" i="10"/>
  <c r="H638" i="10"/>
  <c r="F1105" i="10"/>
  <c r="F1104" i="10" s="1"/>
  <c r="H114" i="10"/>
  <c r="H235" i="10"/>
  <c r="F294" i="10"/>
  <c r="H445" i="10"/>
  <c r="H585" i="10"/>
  <c r="F642" i="10"/>
  <c r="F641" i="10" s="1"/>
  <c r="F640" i="10" s="1"/>
  <c r="E835" i="10"/>
  <c r="E834" i="10" s="1"/>
  <c r="E833" i="10" s="1"/>
  <c r="F926" i="10"/>
  <c r="F925" i="10" s="1"/>
  <c r="F924" i="10" s="1"/>
  <c r="E1123" i="10"/>
  <c r="E1122" i="10" s="1"/>
  <c r="H1190" i="10"/>
  <c r="H1195" i="10"/>
  <c r="H1209" i="10"/>
  <c r="H1706" i="10"/>
  <c r="F1766" i="10"/>
  <c r="F1765" i="10" s="1"/>
  <c r="H1836" i="10"/>
  <c r="F1860" i="10"/>
  <c r="H226" i="10"/>
  <c r="H625" i="10"/>
  <c r="H372" i="10"/>
  <c r="E427" i="10"/>
  <c r="E426" i="10" s="1"/>
  <c r="F491" i="10"/>
  <c r="F490" i="10" s="1"/>
  <c r="F489" i="10" s="1"/>
  <c r="E994" i="10"/>
  <c r="E993" i="10" s="1"/>
  <c r="E992" i="10" s="1"/>
  <c r="H106" i="10"/>
  <c r="E322" i="10"/>
  <c r="E321" i="10" s="1"/>
  <c r="E500" i="10"/>
  <c r="F1147" i="10"/>
  <c r="F1146" i="10" s="1"/>
  <c r="H1377" i="10"/>
  <c r="H1826" i="10"/>
  <c r="F1509" i="10"/>
  <c r="E1743" i="10"/>
  <c r="G1135" i="10"/>
  <c r="H1135" i="10" s="1"/>
  <c r="H10" i="10"/>
  <c r="F1877" i="10"/>
  <c r="H149" i="10"/>
  <c r="G184" i="10"/>
  <c r="H184" i="10" s="1"/>
  <c r="G222" i="10"/>
  <c r="H222" i="10" s="1"/>
  <c r="F287" i="10"/>
  <c r="F286" i="10" s="1"/>
  <c r="G291" i="10"/>
  <c r="H291" i="10" s="1"/>
  <c r="G345" i="10"/>
  <c r="H396" i="10"/>
  <c r="F394" i="10"/>
  <c r="F393" i="10" s="1"/>
  <c r="F392" i="10" s="1"/>
  <c r="H412" i="10"/>
  <c r="F476" i="10"/>
  <c r="F475" i="10" s="1"/>
  <c r="F474" i="10" s="1"/>
  <c r="H487" i="10"/>
  <c r="E642" i="10"/>
  <c r="E641" i="10" s="1"/>
  <c r="E640" i="10" s="1"/>
  <c r="H682" i="10"/>
  <c r="F835" i="10"/>
  <c r="F834" i="10" s="1"/>
  <c r="F833" i="10" s="1"/>
  <c r="H846" i="10"/>
  <c r="E926" i="10"/>
  <c r="E925" i="10" s="1"/>
  <c r="E924" i="10" s="1"/>
  <c r="H1019" i="10"/>
  <c r="H1110" i="10"/>
  <c r="F1123" i="10"/>
  <c r="F1122" i="10" s="1"/>
  <c r="H1124" i="10"/>
  <c r="G1213" i="10"/>
  <c r="G1212" i="10" s="1"/>
  <c r="H1296" i="10"/>
  <c r="F1299" i="10"/>
  <c r="H1313" i="10"/>
  <c r="H1568" i="10"/>
  <c r="H1608" i="10"/>
  <c r="E1649" i="10"/>
  <c r="E1648" i="10" s="1"/>
  <c r="E1647" i="10" s="1"/>
  <c r="G1690" i="10"/>
  <c r="H1690" i="10" s="1"/>
  <c r="H1700" i="10"/>
  <c r="E1724" i="10"/>
  <c r="F1734" i="10"/>
  <c r="F1733" i="10" s="1"/>
  <c r="H1754" i="10"/>
  <c r="H1816" i="10"/>
  <c r="E1824" i="10"/>
  <c r="E1823" i="10" s="1"/>
  <c r="F1835" i="10"/>
  <c r="F1834" i="10" s="1"/>
  <c r="H1035" i="10"/>
  <c r="G323" i="10"/>
  <c r="G322" i="10" s="1"/>
  <c r="G321" i="10" s="1"/>
  <c r="H428" i="10"/>
  <c r="F595" i="10"/>
  <c r="F594" i="10" s="1"/>
  <c r="F593" i="10" s="1"/>
  <c r="F660" i="10"/>
  <c r="F659" i="10" s="1"/>
  <c r="E1163" i="10"/>
  <c r="E1162" i="10" s="1"/>
  <c r="G1295" i="10"/>
  <c r="G1294" i="10" s="1"/>
  <c r="E1550" i="10"/>
  <c r="E1549" i="10" s="1"/>
  <c r="H1561" i="10"/>
  <c r="G1698" i="10"/>
  <c r="H145" i="10"/>
  <c r="H190" i="10"/>
  <c r="G234" i="10"/>
  <c r="H234" i="10" s="1"/>
  <c r="H238" i="10"/>
  <c r="G261" i="10"/>
  <c r="H261" i="10" s="1"/>
  <c r="E286" i="10"/>
  <c r="H383" i="10"/>
  <c r="H429" i="10"/>
  <c r="F436" i="10"/>
  <c r="F435" i="10" s="1"/>
  <c r="G459" i="10"/>
  <c r="H459" i="10" s="1"/>
  <c r="G637" i="10"/>
  <c r="H637" i="10" s="1"/>
  <c r="H788" i="10"/>
  <c r="H867" i="10"/>
  <c r="H1036" i="10"/>
  <c r="E1126" i="10"/>
  <c r="F1134" i="10"/>
  <c r="H1140" i="10"/>
  <c r="G1155" i="10"/>
  <c r="E1213" i="10"/>
  <c r="E1212" i="10" s="1"/>
  <c r="E1211" i="10" s="1"/>
  <c r="E1356" i="10"/>
  <c r="F1368" i="10"/>
  <c r="F1367" i="10" s="1"/>
  <c r="F1366" i="10" s="1"/>
  <c r="E1368" i="10"/>
  <c r="H1398" i="10"/>
  <c r="H1402" i="10"/>
  <c r="H1497" i="10"/>
  <c r="G1505" i="10"/>
  <c r="H1505" i="10" s="1"/>
  <c r="H1522" i="10"/>
  <c r="H1603" i="10"/>
  <c r="E1629" i="10"/>
  <c r="E1628" i="10" s="1"/>
  <c r="E1627" i="10" s="1"/>
  <c r="H1650" i="10"/>
  <c r="H1716" i="10"/>
  <c r="H1726" i="10"/>
  <c r="G1740" i="10"/>
  <c r="H1740" i="10" s="1"/>
  <c r="H1750" i="10"/>
  <c r="E1752" i="10"/>
  <c r="H1761" i="10"/>
  <c r="G1766" i="10"/>
  <c r="G1765" i="10" s="1"/>
  <c r="H1831" i="10"/>
  <c r="H1841" i="10"/>
  <c r="F1840" i="10"/>
  <c r="F1839" i="10" s="1"/>
  <c r="F1838" i="10" s="1"/>
  <c r="F321" i="10"/>
  <c r="G117" i="10"/>
  <c r="H118" i="10"/>
  <c r="H304" i="10"/>
  <c r="G303" i="10"/>
  <c r="H303" i="10" s="1"/>
  <c r="E294" i="10"/>
  <c r="E194" i="10"/>
  <c r="F427" i="10"/>
  <c r="F426" i="10" s="1"/>
  <c r="G606" i="10"/>
  <c r="G1601" i="10"/>
  <c r="H1601" i="10" s="1"/>
  <c r="H1602" i="10"/>
  <c r="H1717" i="10"/>
  <c r="G1250" i="10"/>
  <c r="H1250" i="10" s="1"/>
  <c r="H1251" i="10"/>
  <c r="H99" i="10"/>
  <c r="H119" i="10"/>
  <c r="F144" i="10"/>
  <c r="F143" i="10" s="1"/>
  <c r="F142" i="10" s="1"/>
  <c r="F233" i="10"/>
  <c r="F232" i="10" s="1"/>
  <c r="G242" i="10"/>
  <c r="F333" i="10"/>
  <c r="F332" i="10" s="1"/>
  <c r="F331" i="10" s="1"/>
  <c r="G360" i="10"/>
  <c r="H360" i="10" s="1"/>
  <c r="G395" i="10"/>
  <c r="H408" i="10"/>
  <c r="E476" i="10"/>
  <c r="E475" i="10" s="1"/>
  <c r="E474" i="10" s="1"/>
  <c r="E612" i="10"/>
  <c r="E606" i="10" s="1"/>
  <c r="E605" i="10" s="1"/>
  <c r="E604" i="10" s="1"/>
  <c r="H649" i="10"/>
  <c r="H786" i="10"/>
  <c r="H802" i="10"/>
  <c r="G801" i="10"/>
  <c r="H812" i="10"/>
  <c r="G811" i="10"/>
  <c r="H921" i="10"/>
  <c r="G920" i="10"/>
  <c r="H920" i="10" s="1"/>
  <c r="H1132" i="10"/>
  <c r="G1131" i="10"/>
  <c r="H1131" i="10" s="1"/>
  <c r="H1152" i="10"/>
  <c r="H1552" i="10"/>
  <c r="G1551" i="10"/>
  <c r="G1550" i="10" s="1"/>
  <c r="E1618" i="10"/>
  <c r="E1617" i="10" s="1"/>
  <c r="E1616" i="10" s="1"/>
  <c r="H1640" i="10"/>
  <c r="G1639" i="10"/>
  <c r="G1638" i="10" s="1"/>
  <c r="G1637" i="10" s="1"/>
  <c r="H1670" i="10"/>
  <c r="G1669" i="10"/>
  <c r="E1680" i="10"/>
  <c r="E1698" i="10"/>
  <c r="F1715" i="10"/>
  <c r="E1860" i="10"/>
  <c r="H83" i="10"/>
  <c r="E492" i="10"/>
  <c r="H92" i="10"/>
  <c r="H174" i="10"/>
  <c r="H432" i="10"/>
  <c r="H643" i="10"/>
  <c r="G784" i="10"/>
  <c r="H784" i="10" s="1"/>
  <c r="H785" i="10"/>
  <c r="H915" i="10"/>
  <c r="F46" i="10"/>
  <c r="F45" i="10" s="1"/>
  <c r="H45" i="10" s="1"/>
  <c r="F194" i="10"/>
  <c r="E240" i="10"/>
  <c r="H305" i="10"/>
  <c r="G310" i="10"/>
  <c r="G309" i="10" s="1"/>
  <c r="G308" i="10" s="1"/>
  <c r="E310" i="10"/>
  <c r="E309" i="10" s="1"/>
  <c r="E308" i="10" s="1"/>
  <c r="G371" i="10"/>
  <c r="H371" i="10" s="1"/>
  <c r="H373" i="10"/>
  <c r="E777" i="10"/>
  <c r="G781" i="10"/>
  <c r="H781" i="10" s="1"/>
  <c r="H807" i="10"/>
  <c r="G806" i="10"/>
  <c r="H806" i="10" s="1"/>
  <c r="F819" i="10"/>
  <c r="F818" i="10" s="1"/>
  <c r="F1126" i="10"/>
  <c r="H1176" i="10"/>
  <c r="G1175" i="10"/>
  <c r="H1175" i="10" s="1"/>
  <c r="G1299" i="10"/>
  <c r="G1298" i="10" s="1"/>
  <c r="H1512" i="10"/>
  <c r="H1517" i="10"/>
  <c r="F1516" i="10"/>
  <c r="E1733" i="10"/>
  <c r="H798" i="10"/>
  <c r="F797" i="10"/>
  <c r="H797" i="10" s="1"/>
  <c r="H641" i="1"/>
  <c r="H296" i="10"/>
  <c r="H334" i="10"/>
  <c r="H794" i="10"/>
  <c r="F793" i="10"/>
  <c r="H927" i="10"/>
  <c r="G926" i="10"/>
  <c r="G925" i="10" s="1"/>
  <c r="E1134" i="10"/>
  <c r="G91" i="10"/>
  <c r="H91" i="10" s="1"/>
  <c r="G173" i="10"/>
  <c r="H173" i="10" s="1"/>
  <c r="G333" i="10"/>
  <c r="H357" i="10"/>
  <c r="H441" i="10"/>
  <c r="H492" i="10"/>
  <c r="E528" i="10"/>
  <c r="G642" i="10"/>
  <c r="H831" i="10"/>
  <c r="F830" i="10"/>
  <c r="F829" i="10" s="1"/>
  <c r="H829" i="10" s="1"/>
  <c r="H990" i="10"/>
  <c r="G989" i="10"/>
  <c r="H989" i="10" s="1"/>
  <c r="G1207" i="10"/>
  <c r="H1207" i="10" s="1"/>
  <c r="E1254" i="10"/>
  <c r="G1363" i="10"/>
  <c r="H1363" i="10" s="1"/>
  <c r="H1364" i="10"/>
  <c r="G1560" i="10"/>
  <c r="G1559" i="10" s="1"/>
  <c r="F1689" i="10"/>
  <c r="H1785" i="10"/>
  <c r="G1784" i="10"/>
  <c r="H1784" i="10" s="1"/>
  <c r="G792" i="10"/>
  <c r="G835" i="10"/>
  <c r="H836" i="10"/>
  <c r="H1158" i="10"/>
  <c r="G1443" i="10"/>
  <c r="H1443" i="10" s="1"/>
  <c r="H1444" i="10"/>
  <c r="G1583" i="10"/>
  <c r="H1584" i="10"/>
  <c r="E1715" i="10"/>
  <c r="G1824" i="10"/>
  <c r="H685" i="10"/>
  <c r="E819" i="10"/>
  <c r="E818" i="10" s="1"/>
  <c r="H937" i="10"/>
  <c r="H1023" i="10"/>
  <c r="H1059" i="10"/>
  <c r="H1883" i="10"/>
  <c r="E1194" i="10"/>
  <c r="E1193" i="10" s="1"/>
  <c r="E1192" i="10" s="1"/>
  <c r="E1299" i="10"/>
  <c r="E1298" i="10" s="1"/>
  <c r="F1356" i="10"/>
  <c r="H1501" i="10"/>
  <c r="H1630" i="10"/>
  <c r="H1687" i="10"/>
  <c r="H1722" i="10"/>
  <c r="H1800" i="10"/>
  <c r="H1849" i="10"/>
  <c r="H1731" i="10"/>
  <c r="H1745" i="10"/>
  <c r="G1753" i="10"/>
  <c r="H1767" i="10"/>
  <c r="H1821" i="10"/>
  <c r="H1845" i="10"/>
  <c r="F777" i="10"/>
  <c r="H822" i="10"/>
  <c r="G866" i="10"/>
  <c r="G1123" i="10"/>
  <c r="E1147" i="10"/>
  <c r="E1146" i="10" s="1"/>
  <c r="F1213" i="10"/>
  <c r="F1212" i="10" s="1"/>
  <c r="F1211" i="10" s="1"/>
  <c r="E1500" i="10"/>
  <c r="F1607" i="10"/>
  <c r="F1606" i="10" s="1"/>
  <c r="F1605" i="10" s="1"/>
  <c r="E666" i="10"/>
  <c r="E661" i="10" s="1"/>
  <c r="E866" i="10"/>
  <c r="E865" i="10" s="1"/>
  <c r="E864" i="10" s="1"/>
  <c r="H874" i="10"/>
  <c r="H1114" i="10"/>
  <c r="H1222" i="10"/>
  <c r="H1502" i="10"/>
  <c r="G1629" i="10"/>
  <c r="G1628" i="10" s="1"/>
  <c r="G1627" i="10" s="1"/>
  <c r="H1664" i="10"/>
  <c r="F1686" i="10"/>
  <c r="H1686" i="10" s="1"/>
  <c r="H1712" i="10"/>
  <c r="G1721" i="10"/>
  <c r="H1721" i="10" s="1"/>
  <c r="H1792" i="10"/>
  <c r="H1879" i="10"/>
  <c r="H657" i="10"/>
  <c r="E1105" i="10"/>
  <c r="E1104" i="10" s="1"/>
  <c r="H1247" i="10"/>
  <c r="E1402" i="10"/>
  <c r="F1500" i="10"/>
  <c r="F1725" i="10"/>
  <c r="F1724" i="10" s="1"/>
  <c r="H1730" i="10"/>
  <c r="H1820" i="10"/>
  <c r="F1825" i="10"/>
  <c r="F1824" i="10" s="1"/>
  <c r="F1823" i="10" s="1"/>
  <c r="G994" i="10"/>
  <c r="H1003" i="10"/>
  <c r="G82" i="10"/>
  <c r="G295" i="10"/>
  <c r="F885" i="10"/>
  <c r="F884" i="10" s="1"/>
  <c r="F883" i="10" s="1"/>
  <c r="H1053" i="10"/>
  <c r="G1046" i="10"/>
  <c r="G1139" i="10"/>
  <c r="H1165" i="10"/>
  <c r="F1164" i="10"/>
  <c r="E9" i="10"/>
  <c r="E8" i="10" s="1"/>
  <c r="E7" i="10" s="1"/>
  <c r="G1876" i="10"/>
  <c r="G1881" i="10"/>
  <c r="H43" i="10"/>
  <c r="F1875" i="10"/>
  <c r="H87" i="10"/>
  <c r="F81" i="10"/>
  <c r="F80" i="10" s="1"/>
  <c r="H300" i="10"/>
  <c r="G299" i="10"/>
  <c r="H299" i="10" s="1"/>
  <c r="H465" i="10"/>
  <c r="G464" i="10"/>
  <c r="H574" i="10"/>
  <c r="G573" i="10"/>
  <c r="H573" i="10" s="1"/>
  <c r="H743" i="10"/>
  <c r="H742" i="10"/>
  <c r="H1358" i="10"/>
  <c r="G1357" i="10"/>
  <c r="G1874" i="10"/>
  <c r="H18" i="10"/>
  <c r="H861" i="10"/>
  <c r="H1351" i="10"/>
  <c r="F1350" i="10"/>
  <c r="F1881" i="10"/>
  <c r="F1880" i="10" s="1"/>
  <c r="E1875" i="10"/>
  <c r="E81" i="10"/>
  <c r="E80" i="10" s="1"/>
  <c r="H197" i="10"/>
  <c r="H601" i="10"/>
  <c r="G595" i="10"/>
  <c r="F1874" i="10"/>
  <c r="F7" i="10"/>
  <c r="H42" i="10"/>
  <c r="H179" i="10"/>
  <c r="H376" i="10"/>
  <c r="G1039" i="10"/>
  <c r="H1040" i="10"/>
  <c r="H318" i="10"/>
  <c r="H420" i="10"/>
  <c r="H524" i="10"/>
  <c r="G821" i="10"/>
  <c r="H896" i="10"/>
  <c r="F1254" i="10"/>
  <c r="H1284" i="10"/>
  <c r="H1483" i="10"/>
  <c r="F1482" i="10"/>
  <c r="F1873" i="10"/>
  <c r="E1876" i="10"/>
  <c r="G1877" i="10"/>
  <c r="G1875" i="10"/>
  <c r="H168" i="10"/>
  <c r="H196" i="10"/>
  <c r="H203" i="10"/>
  <c r="H274" i="10"/>
  <c r="H284" i="10"/>
  <c r="H341" i="10"/>
  <c r="H346" i="10"/>
  <c r="H378" i="10"/>
  <c r="H388" i="10"/>
  <c r="G382" i="10"/>
  <c r="G427" i="10"/>
  <c r="H467" i="10"/>
  <c r="H500" i="10"/>
  <c r="H528" i="10"/>
  <c r="H596" i="10"/>
  <c r="H666" i="10"/>
  <c r="E685" i="10"/>
  <c r="H779" i="10"/>
  <c r="H790" i="10"/>
  <c r="H826" i="10"/>
  <c r="H886" i="10"/>
  <c r="H953" i="10"/>
  <c r="H1041" i="10"/>
  <c r="H1099" i="10"/>
  <c r="F1098" i="10"/>
  <c r="H1098" i="10" s="1"/>
  <c r="H1119" i="10"/>
  <c r="F1118" i="10"/>
  <c r="H1159" i="10"/>
  <c r="F1180" i="10"/>
  <c r="F1179" i="10" s="1"/>
  <c r="F1178" i="10" s="1"/>
  <c r="H1187" i="10"/>
  <c r="H1369" i="10"/>
  <c r="G1368" i="10"/>
  <c r="H1449" i="10"/>
  <c r="G1448" i="10"/>
  <c r="H1579" i="10"/>
  <c r="F1578" i="10"/>
  <c r="H1696" i="10"/>
  <c r="G1695" i="10"/>
  <c r="H311" i="10"/>
  <c r="H347" i="10"/>
  <c r="H413" i="10"/>
  <c r="G436" i="10"/>
  <c r="H1107" i="10"/>
  <c r="G1106" i="10"/>
  <c r="H1142" i="10"/>
  <c r="H1619" i="10"/>
  <c r="F1618" i="10"/>
  <c r="F1617" i="10" s="1"/>
  <c r="F1616" i="10" s="1"/>
  <c r="G1873" i="10"/>
  <c r="F1876" i="10"/>
  <c r="H47" i="10"/>
  <c r="H167" i="10"/>
  <c r="H195" i="10"/>
  <c r="H202" i="10"/>
  <c r="G194" i="10"/>
  <c r="H283" i="10"/>
  <c r="H377" i="10"/>
  <c r="H466" i="10"/>
  <c r="H621" i="10"/>
  <c r="H778" i="10"/>
  <c r="H789" i="10"/>
  <c r="H825" i="10"/>
  <c r="H1128" i="10"/>
  <c r="G1127" i="10"/>
  <c r="H1143" i="10"/>
  <c r="H1148" i="10"/>
  <c r="H1170" i="10"/>
  <c r="G1163" i="10"/>
  <c r="G1194" i="10"/>
  <c r="H1198" i="10"/>
  <c r="H1460" i="10"/>
  <c r="G1459" i="10"/>
  <c r="H1663" i="10"/>
  <c r="H1047" i="10"/>
  <c r="H1181" i="10"/>
  <c r="H1201" i="10"/>
  <c r="H1204" i="10"/>
  <c r="H1256" i="10"/>
  <c r="H1283" i="10"/>
  <c r="H1574" i="10"/>
  <c r="G144" i="10"/>
  <c r="H1065" i="10"/>
  <c r="H1144" i="10"/>
  <c r="H1149" i="10"/>
  <c r="H1160" i="10"/>
  <c r="G1180" i="10"/>
  <c r="H1244" i="10"/>
  <c r="G1255" i="10"/>
  <c r="H1289" i="10"/>
  <c r="F1705" i="10"/>
  <c r="H1705" i="10" s="1"/>
  <c r="H1749" i="10"/>
  <c r="F1743" i="10"/>
  <c r="H1858" i="10"/>
  <c r="G1857" i="10"/>
  <c r="H1857" i="10" s="1"/>
  <c r="G1521" i="10"/>
  <c r="H1530" i="10"/>
  <c r="H1660" i="10"/>
  <c r="H1677" i="10"/>
  <c r="F1668" i="10"/>
  <c r="F1667" i="10" s="1"/>
  <c r="H1781" i="10"/>
  <c r="H1862" i="10"/>
  <c r="F1550" i="10"/>
  <c r="F1549" i="10" s="1"/>
  <c r="H1555" i="10"/>
  <c r="H1624" i="10"/>
  <c r="G1618" i="10"/>
  <c r="H1635" i="10"/>
  <c r="F1629" i="10"/>
  <c r="F1628" i="10" s="1"/>
  <c r="F1627" i="10" s="1"/>
  <c r="H1645" i="10"/>
  <c r="F1639" i="10"/>
  <c r="F1638" i="10" s="1"/>
  <c r="F1637" i="10" s="1"/>
  <c r="F1699" i="10"/>
  <c r="F1760" i="10"/>
  <c r="H1861" i="10"/>
  <c r="G1724" i="10"/>
  <c r="E91" i="7"/>
  <c r="E101" i="7"/>
  <c r="E1877" i="10" l="1"/>
  <c r="F1559" i="10"/>
  <c r="F1558" i="10" s="1"/>
  <c r="H1295" i="10"/>
  <c r="E320" i="10"/>
  <c r="H1877" i="10"/>
  <c r="H345" i="10"/>
  <c r="H98" i="10"/>
  <c r="F6" i="10"/>
  <c r="H287" i="10"/>
  <c r="H835" i="10"/>
  <c r="H606" i="10"/>
  <c r="F425" i="10"/>
  <c r="G96" i="10"/>
  <c r="H96" i="10" s="1"/>
  <c r="H97" i="10"/>
  <c r="E776" i="10"/>
  <c r="F320" i="10"/>
  <c r="H491" i="10"/>
  <c r="E1881" i="10"/>
  <c r="E1880" i="10" s="1"/>
  <c r="H1791" i="10"/>
  <c r="E1367" i="10"/>
  <c r="E1366" i="10" s="1"/>
  <c r="E1355" i="10" s="1"/>
  <c r="E1508" i="10"/>
  <c r="H46" i="10"/>
  <c r="H1627" i="10"/>
  <c r="G1293" i="10"/>
  <c r="H1293" i="10" s="1"/>
  <c r="H1294" i="10"/>
  <c r="G605" i="10"/>
  <c r="H605" i="10" s="1"/>
  <c r="H308" i="10"/>
  <c r="G1680" i="10"/>
  <c r="G1860" i="10"/>
  <c r="H1860" i="10" s="1"/>
  <c r="G1146" i="10"/>
  <c r="H1146" i="10" s="1"/>
  <c r="G1733" i="10"/>
  <c r="H1733" i="10" s="1"/>
  <c r="G490" i="10"/>
  <c r="H490" i="10" s="1"/>
  <c r="H476" i="10"/>
  <c r="H1649" i="10"/>
  <c r="G834" i="10"/>
  <c r="H834" i="10" s="1"/>
  <c r="H1840" i="10"/>
  <c r="G221" i="10"/>
  <c r="H221" i="10" s="1"/>
  <c r="F792" i="10"/>
  <c r="H792" i="10" s="1"/>
  <c r="H1509" i="10"/>
  <c r="H1766" i="10"/>
  <c r="F1355" i="10"/>
  <c r="F1833" i="10"/>
  <c r="H1510" i="10"/>
  <c r="E1456" i="10"/>
  <c r="H1606" i="10"/>
  <c r="H1147" i="10"/>
  <c r="E170" i="10"/>
  <c r="H323" i="10"/>
  <c r="E1833" i="10"/>
  <c r="H309" i="10"/>
  <c r="H310" i="10"/>
  <c r="H1605" i="10"/>
  <c r="E1103" i="10"/>
  <c r="F170" i="10"/>
  <c r="G286" i="10"/>
  <c r="H286" i="10" s="1"/>
  <c r="E1557" i="10"/>
  <c r="E1666" i="10"/>
  <c r="H1724" i="10"/>
  <c r="H1839" i="10"/>
  <c r="G172" i="10"/>
  <c r="H172" i="10" s="1"/>
  <c r="G1715" i="10"/>
  <c r="H1715" i="10" s="1"/>
  <c r="H1743" i="10"/>
  <c r="E660" i="10"/>
  <c r="E659" i="10" s="1"/>
  <c r="H1835" i="10"/>
  <c r="H926" i="10"/>
  <c r="G883" i="10"/>
  <c r="H883" i="10" s="1"/>
  <c r="E1206" i="10"/>
  <c r="E1788" i="10"/>
  <c r="E491" i="10"/>
  <c r="E490" i="10" s="1"/>
  <c r="E489" i="10" s="1"/>
  <c r="E425" i="10"/>
  <c r="H1874" i="10"/>
  <c r="H1834" i="10"/>
  <c r="G1500" i="10"/>
  <c r="H1500" i="10" s="1"/>
  <c r="H1637" i="10"/>
  <c r="H1560" i="10"/>
  <c r="H885" i="10"/>
  <c r="H194" i="10"/>
  <c r="E1874" i="10"/>
  <c r="H1212" i="10"/>
  <c r="H1551" i="10"/>
  <c r="E828" i="10"/>
  <c r="H793" i="10"/>
  <c r="G1764" i="10"/>
  <c r="H1155" i="10"/>
  <c r="H1734" i="10"/>
  <c r="H333" i="10"/>
  <c r="G1211" i="10"/>
  <c r="H1211" i="10" s="1"/>
  <c r="H1299" i="10"/>
  <c r="G233" i="10"/>
  <c r="H233" i="10" s="1"/>
  <c r="F463" i="10"/>
  <c r="H830" i="10"/>
  <c r="F1788" i="10"/>
  <c r="F1872" i="10"/>
  <c r="F1871" i="10" s="1"/>
  <c r="G805" i="10"/>
  <c r="G804" i="10" s="1"/>
  <c r="G1122" i="10"/>
  <c r="H1122" i="10" s="1"/>
  <c r="H1123" i="10"/>
  <c r="H1825" i="10"/>
  <c r="H1213" i="10"/>
  <c r="G394" i="10"/>
  <c r="H395" i="10"/>
  <c r="G777" i="10"/>
  <c r="H777" i="10" s="1"/>
  <c r="H1882" i="10"/>
  <c r="G865" i="10"/>
  <c r="H866" i="10"/>
  <c r="G1823" i="10"/>
  <c r="H1823" i="10" s="1"/>
  <c r="H1824" i="10"/>
  <c r="H1725" i="10"/>
  <c r="G344" i="10"/>
  <c r="H344" i="10" s="1"/>
  <c r="H642" i="10"/>
  <c r="G641" i="10"/>
  <c r="H1669" i="10"/>
  <c r="G1668" i="10"/>
  <c r="G1667" i="10" s="1"/>
  <c r="H1667" i="10" s="1"/>
  <c r="H117" i="10"/>
  <c r="G116" i="10"/>
  <c r="H116" i="10" s="1"/>
  <c r="H1753" i="10"/>
  <c r="G1752" i="10"/>
  <c r="H1607" i="10"/>
  <c r="H811" i="10"/>
  <c r="G810" i="10"/>
  <c r="F1680" i="10"/>
  <c r="H321" i="10"/>
  <c r="E1873" i="10"/>
  <c r="G332" i="10"/>
  <c r="G331" i="10" s="1"/>
  <c r="H884" i="10"/>
  <c r="H1583" i="10"/>
  <c r="G1582" i="10"/>
  <c r="H1582" i="10" s="1"/>
  <c r="H1516" i="10"/>
  <c r="F1515" i="10"/>
  <c r="H1515" i="10" s="1"/>
  <c r="H801" i="10"/>
  <c r="G800" i="10"/>
  <c r="H800" i="10" s="1"/>
  <c r="H242" i="10"/>
  <c r="G241" i="10"/>
  <c r="H322" i="10"/>
  <c r="H1618" i="10"/>
  <c r="G1617" i="10"/>
  <c r="H1648" i="10"/>
  <c r="G1647" i="10"/>
  <c r="H1647" i="10" s="1"/>
  <c r="G143" i="10"/>
  <c r="H144" i="10"/>
  <c r="G820" i="10"/>
  <c r="H821" i="10"/>
  <c r="H925" i="10"/>
  <c r="G924" i="10"/>
  <c r="H924" i="10" s="1"/>
  <c r="H1760" i="10"/>
  <c r="F1752" i="10"/>
  <c r="H1180" i="10"/>
  <c r="G1179" i="10"/>
  <c r="G1872" i="10"/>
  <c r="H1873" i="10"/>
  <c r="H1106" i="10"/>
  <c r="G1105" i="10"/>
  <c r="G435" i="10"/>
  <c r="H435" i="10" s="1"/>
  <c r="H436" i="10"/>
  <c r="G1689" i="10"/>
  <c r="H1695" i="10"/>
  <c r="H1550" i="10"/>
  <c r="G1549" i="10"/>
  <c r="H1549" i="10" s="1"/>
  <c r="H382" i="10"/>
  <c r="G381" i="10"/>
  <c r="H1875" i="10"/>
  <c r="H1628" i="10"/>
  <c r="H1357" i="10"/>
  <c r="G1356" i="10"/>
  <c r="H1876" i="10"/>
  <c r="G1134" i="10"/>
  <c r="H1134" i="10" s="1"/>
  <c r="H1139" i="10"/>
  <c r="H295" i="10"/>
  <c r="G294" i="10"/>
  <c r="H294" i="10" s="1"/>
  <c r="G993" i="10"/>
  <c r="H994" i="10"/>
  <c r="F1044" i="10"/>
  <c r="F828" i="10" s="1"/>
  <c r="G1838" i="10"/>
  <c r="H1127" i="10"/>
  <c r="G1126" i="10"/>
  <c r="H1126" i="10" s="1"/>
  <c r="H1448" i="10"/>
  <c r="G1447" i="10"/>
  <c r="H1447" i="10" s="1"/>
  <c r="G660" i="10"/>
  <c r="H661" i="10"/>
  <c r="H427" i="10"/>
  <c r="G426" i="10"/>
  <c r="H1350" i="10"/>
  <c r="F1298" i="10"/>
  <c r="H1881" i="10"/>
  <c r="G1880" i="10"/>
  <c r="H1880" i="10" s="1"/>
  <c r="H1629" i="10"/>
  <c r="H1638" i="10"/>
  <c r="H1255" i="10"/>
  <c r="G1254" i="10"/>
  <c r="H1254" i="10" s="1"/>
  <c r="H1559" i="10"/>
  <c r="G1558" i="10"/>
  <c r="H1790" i="10"/>
  <c r="G1789" i="10"/>
  <c r="H1459" i="10"/>
  <c r="G1458" i="10"/>
  <c r="G1193" i="10"/>
  <c r="H1194" i="10"/>
  <c r="G474" i="10"/>
  <c r="H474" i="10" s="1"/>
  <c r="H475" i="10"/>
  <c r="H1368" i="10"/>
  <c r="G1367" i="10"/>
  <c r="H1118" i="10"/>
  <c r="F1117" i="10"/>
  <c r="H1482" i="10"/>
  <c r="F1481" i="10"/>
  <c r="E6" i="10"/>
  <c r="H1046" i="10"/>
  <c r="G1045" i="10"/>
  <c r="H1699" i="10"/>
  <c r="F1698" i="10"/>
  <c r="H1698" i="10" s="1"/>
  <c r="H1639" i="10"/>
  <c r="F1764" i="10"/>
  <c r="H1765" i="10"/>
  <c r="H1521" i="10"/>
  <c r="G1520" i="10"/>
  <c r="G1162" i="10"/>
  <c r="H1578" i="10"/>
  <c r="F1577" i="10"/>
  <c r="H1039" i="10"/>
  <c r="G1038" i="10"/>
  <c r="H1038" i="10" s="1"/>
  <c r="H595" i="10"/>
  <c r="G594" i="10"/>
  <c r="G8" i="10"/>
  <c r="H9" i="10"/>
  <c r="H464" i="10"/>
  <c r="H1164" i="10"/>
  <c r="F1163" i="10"/>
  <c r="F1162" i="10" s="1"/>
  <c r="G81" i="10"/>
  <c r="H82" i="10"/>
  <c r="F100" i="7"/>
  <c r="G98" i="7"/>
  <c r="H98" i="7"/>
  <c r="E98" i="7"/>
  <c r="F776" i="10" l="1"/>
  <c r="E463" i="10"/>
  <c r="G604" i="10"/>
  <c r="H604" i="10" s="1"/>
  <c r="H1680" i="10"/>
  <c r="G833" i="10"/>
  <c r="H833" i="10" s="1"/>
  <c r="G232" i="10"/>
  <c r="H232" i="10" s="1"/>
  <c r="G489" i="10"/>
  <c r="H489" i="10" s="1"/>
  <c r="E1872" i="10"/>
  <c r="E1871" i="10" s="1"/>
  <c r="G220" i="10"/>
  <c r="H220" i="10" s="1"/>
  <c r="G171" i="10"/>
  <c r="H171" i="10" s="1"/>
  <c r="G343" i="10"/>
  <c r="H343" i="10" s="1"/>
  <c r="H1764" i="10"/>
  <c r="H332" i="10"/>
  <c r="H805" i="10"/>
  <c r="H1752" i="10"/>
  <c r="G864" i="10"/>
  <c r="H864" i="10" s="1"/>
  <c r="H865" i="10"/>
  <c r="G1206" i="10"/>
  <c r="H1668" i="10"/>
  <c r="E1868" i="10"/>
  <c r="E1885" i="10" s="1"/>
  <c r="G240" i="10"/>
  <c r="H240" i="10" s="1"/>
  <c r="H241" i="10"/>
  <c r="H810" i="10"/>
  <c r="G809" i="10"/>
  <c r="H809" i="10" s="1"/>
  <c r="F1508" i="10"/>
  <c r="G640" i="10"/>
  <c r="H640" i="10" s="1"/>
  <c r="H641" i="10"/>
  <c r="H394" i="10"/>
  <c r="G393" i="10"/>
  <c r="H1481" i="10"/>
  <c r="F1480" i="10"/>
  <c r="H1367" i="10"/>
  <c r="G1366" i="10"/>
  <c r="H1366" i="10" s="1"/>
  <c r="H1789" i="10"/>
  <c r="G1788" i="10"/>
  <c r="H1788" i="10" s="1"/>
  <c r="G425" i="10"/>
  <c r="H425" i="10" s="1"/>
  <c r="H426" i="10"/>
  <c r="G1833" i="10"/>
  <c r="H1833" i="10" s="1"/>
  <c r="H1838" i="10"/>
  <c r="H1356" i="10"/>
  <c r="H1179" i="10"/>
  <c r="G1178" i="10"/>
  <c r="H1178" i="10" s="1"/>
  <c r="H1162" i="10"/>
  <c r="H1163" i="10"/>
  <c r="G1192" i="10"/>
  <c r="H1192" i="10" s="1"/>
  <c r="H1193" i="10"/>
  <c r="G1871" i="10"/>
  <c r="H1872" i="10"/>
  <c r="H1617" i="10"/>
  <c r="G1616" i="10"/>
  <c r="H1616" i="10" s="1"/>
  <c r="H1577" i="10"/>
  <c r="F1576" i="10"/>
  <c r="H594" i="10"/>
  <c r="G593" i="10"/>
  <c r="H1520" i="10"/>
  <c r="G1519" i="10"/>
  <c r="H1045" i="10"/>
  <c r="G1044" i="10"/>
  <c r="H1044" i="10" s="1"/>
  <c r="H1117" i="10"/>
  <c r="F1103" i="10"/>
  <c r="H1458" i="10"/>
  <c r="G1457" i="10"/>
  <c r="H1558" i="10"/>
  <c r="F1206" i="10"/>
  <c r="H1298" i="10"/>
  <c r="H804" i="10"/>
  <c r="G776" i="10"/>
  <c r="H381" i="10"/>
  <c r="G380" i="10"/>
  <c r="H1105" i="10"/>
  <c r="G1104" i="10"/>
  <c r="G142" i="10"/>
  <c r="H142" i="10" s="1"/>
  <c r="H143" i="10"/>
  <c r="G320" i="10"/>
  <c r="H320" i="10" s="1"/>
  <c r="H331" i="10"/>
  <c r="G7" i="10"/>
  <c r="H8" i="10"/>
  <c r="G80" i="10"/>
  <c r="H80" i="10" s="1"/>
  <c r="H81" i="10"/>
  <c r="G659" i="10"/>
  <c r="H659" i="10" s="1"/>
  <c r="H660" i="10"/>
  <c r="G992" i="10"/>
  <c r="H992" i="10" s="1"/>
  <c r="H993" i="10"/>
  <c r="H1689" i="10"/>
  <c r="G1666" i="10"/>
  <c r="F1666" i="10"/>
  <c r="H820" i="10"/>
  <c r="G819" i="10"/>
  <c r="N15" i="6"/>
  <c r="H776" i="10" l="1"/>
  <c r="G170" i="10"/>
  <c r="H170" i="10" s="1"/>
  <c r="E1886" i="10"/>
  <c r="H1206" i="10"/>
  <c r="G392" i="10"/>
  <c r="H392" i="10" s="1"/>
  <c r="H393" i="10"/>
  <c r="G1557" i="10"/>
  <c r="G1355" i="10"/>
  <c r="H1355" i="10" s="1"/>
  <c r="H1104" i="10"/>
  <c r="G1103" i="10"/>
  <c r="H1103" i="10" s="1"/>
  <c r="G818" i="10"/>
  <c r="H818" i="10" s="1"/>
  <c r="H819" i="10"/>
  <c r="H380" i="10"/>
  <c r="G375" i="10"/>
  <c r="H375" i="10" s="1"/>
  <c r="G1456" i="10"/>
  <c r="H1457" i="10"/>
  <c r="H1519" i="10"/>
  <c r="G1508" i="10"/>
  <c r="H1508" i="10" s="1"/>
  <c r="H1576" i="10"/>
  <c r="F1557" i="10"/>
  <c r="H1480" i="10"/>
  <c r="F1456" i="10"/>
  <c r="H1666" i="10"/>
  <c r="G6" i="10"/>
  <c r="H7" i="10"/>
  <c r="H1871" i="10"/>
  <c r="H593" i="10"/>
  <c r="G463" i="10"/>
  <c r="H463" i="10" s="1"/>
  <c r="G828" i="10"/>
  <c r="H828" i="10" s="1"/>
  <c r="I15" i="6"/>
  <c r="I16" i="6"/>
  <c r="H1557" i="10" l="1"/>
  <c r="F1868" i="10"/>
  <c r="F1885" i="10" s="1"/>
  <c r="F1886" i="10" s="1"/>
  <c r="G1868" i="10"/>
  <c r="H6" i="10"/>
  <c r="H1456" i="10"/>
  <c r="E51" i="1"/>
  <c r="H52" i="1"/>
  <c r="F48" i="1"/>
  <c r="H49" i="1"/>
  <c r="F51" i="1"/>
  <c r="G51" i="1"/>
  <c r="G1885" i="10" l="1"/>
  <c r="G1886" i="10" s="1"/>
  <c r="H1868" i="10"/>
  <c r="H51" i="1"/>
  <c r="G8" i="1" l="1"/>
  <c r="F8" i="1"/>
  <c r="E418" i="1" l="1"/>
  <c r="F418" i="1"/>
  <c r="G418" i="1"/>
  <c r="G360" i="1"/>
  <c r="E360" i="1"/>
  <c r="F360" i="1"/>
  <c r="E539" i="1"/>
  <c r="F539" i="1"/>
  <c r="G539" i="1"/>
  <c r="H628" i="1"/>
  <c r="H625" i="1"/>
  <c r="G594" i="1"/>
  <c r="F594" i="1"/>
  <c r="E594" i="1"/>
  <c r="F524" i="1"/>
  <c r="G524" i="1"/>
  <c r="E524" i="1"/>
  <c r="H472" i="1"/>
  <c r="H432" i="1"/>
  <c r="H396" i="1" l="1"/>
  <c r="F393" i="1"/>
  <c r="G393" i="1"/>
  <c r="E393" i="1"/>
  <c r="H379" i="1"/>
  <c r="H373" i="1"/>
  <c r="F375" i="1"/>
  <c r="G375" i="1"/>
  <c r="E375" i="1"/>
  <c r="H364" i="1"/>
  <c r="H303" i="1"/>
  <c r="G158" i="1"/>
  <c r="G142" i="1"/>
  <c r="G141" i="1" s="1"/>
  <c r="F142" i="1"/>
  <c r="F141" i="1" s="1"/>
  <c r="E142" i="1"/>
  <c r="E141" i="1" s="1"/>
  <c r="H138" i="1"/>
  <c r="F69" i="1"/>
  <c r="G69" i="1"/>
  <c r="E69" i="1"/>
  <c r="H57" i="1"/>
  <c r="H10" i="1"/>
  <c r="G645" i="1"/>
  <c r="F645" i="1"/>
  <c r="F644" i="1" s="1"/>
  <c r="E645" i="1"/>
  <c r="E644" i="1" s="1"/>
  <c r="F642" i="1"/>
  <c r="G642" i="1"/>
  <c r="E642" i="1"/>
  <c r="F627" i="1"/>
  <c r="G627" i="1"/>
  <c r="E627" i="1"/>
  <c r="H547" i="1"/>
  <c r="G546" i="1"/>
  <c r="G545" i="1" s="1"/>
  <c r="F546" i="1"/>
  <c r="F545" i="1" s="1"/>
  <c r="E546" i="1"/>
  <c r="E545" i="1" s="1"/>
  <c r="G519" i="1"/>
  <c r="G518" i="1" s="1"/>
  <c r="F519" i="1"/>
  <c r="F518" i="1" s="1"/>
  <c r="E519" i="1"/>
  <c r="E518" i="1" s="1"/>
  <c r="F515" i="1"/>
  <c r="F514" i="1" s="1"/>
  <c r="G515" i="1"/>
  <c r="G514" i="1" s="1"/>
  <c r="E515" i="1"/>
  <c r="E514" i="1" s="1"/>
  <c r="F489" i="1"/>
  <c r="G489" i="1"/>
  <c r="E489" i="1"/>
  <c r="F459" i="1"/>
  <c r="F458" i="1" s="1"/>
  <c r="G459" i="1"/>
  <c r="G458" i="1" s="1"/>
  <c r="E459" i="1"/>
  <c r="E458" i="1" s="1"/>
  <c r="F442" i="1"/>
  <c r="G442" i="1"/>
  <c r="E442" i="1"/>
  <c r="F431" i="1"/>
  <c r="G431" i="1"/>
  <c r="E431" i="1"/>
  <c r="F423" i="1"/>
  <c r="F421" i="1" s="1"/>
  <c r="G423" i="1"/>
  <c r="G421" i="1" s="1"/>
  <c r="E423" i="1"/>
  <c r="E421" i="1" s="1"/>
  <c r="H345" i="1"/>
  <c r="G344" i="1"/>
  <c r="F344" i="1"/>
  <c r="E344" i="1"/>
  <c r="H343" i="1"/>
  <c r="H342" i="1"/>
  <c r="H341" i="1"/>
  <c r="H340" i="1"/>
  <c r="G339" i="1"/>
  <c r="F339" i="1"/>
  <c r="E339" i="1"/>
  <c r="F335" i="1"/>
  <c r="E335" i="1"/>
  <c r="H323" i="1"/>
  <c r="F292" i="1"/>
  <c r="G292" i="1"/>
  <c r="H292" i="1" s="1"/>
  <c r="E292" i="1"/>
  <c r="E263" i="1"/>
  <c r="G270" i="1"/>
  <c r="F270" i="1"/>
  <c r="F269" i="1" s="1"/>
  <c r="H261" i="1"/>
  <c r="G229" i="1"/>
  <c r="E229" i="1"/>
  <c r="F229" i="1"/>
  <c r="H251" i="1"/>
  <c r="H250" i="1"/>
  <c r="G188" i="1"/>
  <c r="G187" i="1" s="1"/>
  <c r="F188" i="1"/>
  <c r="F187" i="1" s="1"/>
  <c r="E188" i="1"/>
  <c r="E187" i="1" s="1"/>
  <c r="G72" i="1"/>
  <c r="F72" i="1"/>
  <c r="E72" i="1"/>
  <c r="F13" i="1"/>
  <c r="G13" i="1"/>
  <c r="E13" i="1"/>
  <c r="H642" i="1" l="1"/>
  <c r="H158" i="1"/>
  <c r="G644" i="1"/>
  <c r="H644" i="1" s="1"/>
  <c r="H645" i="1"/>
  <c r="G513" i="1"/>
  <c r="H545" i="1"/>
  <c r="H546" i="1"/>
  <c r="E513" i="1"/>
  <c r="F513" i="1"/>
  <c r="G338" i="1"/>
  <c r="E338" i="1"/>
  <c r="F338" i="1"/>
  <c r="H344" i="1"/>
  <c r="H339" i="1"/>
  <c r="G269" i="1"/>
  <c r="H338" i="1" l="1"/>
  <c r="E311" i="1" l="1"/>
  <c r="E310" i="1" s="1"/>
  <c r="F225" i="1"/>
  <c r="F224" i="1" s="1"/>
  <c r="E225" i="1"/>
  <c r="E224" i="1" s="1"/>
  <c r="G208" i="1"/>
  <c r="F208" i="1"/>
  <c r="E208" i="1"/>
  <c r="E192" i="1"/>
  <c r="E56" i="1"/>
  <c r="G21" i="1"/>
  <c r="F21" i="1"/>
  <c r="E21" i="1"/>
  <c r="G16" i="1"/>
  <c r="F16" i="1"/>
  <c r="E16" i="1"/>
  <c r="E8" i="1"/>
  <c r="F325" i="1"/>
  <c r="G325" i="1"/>
  <c r="E325" i="1"/>
  <c r="G335" i="1"/>
  <c r="H335" i="1" s="1"/>
  <c r="G333" i="1"/>
  <c r="F333" i="1"/>
  <c r="E333" i="1"/>
  <c r="E348" i="1"/>
  <c r="E347" i="1" s="1"/>
  <c r="F348" i="1"/>
  <c r="F347" i="1" s="1"/>
  <c r="G348" i="1"/>
  <c r="G347" i="1" s="1"/>
  <c r="H349" i="1"/>
  <c r="H113" i="1"/>
  <c r="H208" i="1" l="1"/>
  <c r="H348" i="1"/>
  <c r="H347" i="1"/>
  <c r="F192" i="1" l="1"/>
  <c r="G192" i="1"/>
  <c r="D21" i="9" l="1"/>
  <c r="D22" i="9"/>
  <c r="D23" i="9"/>
  <c r="B24" i="9"/>
  <c r="C24" i="9"/>
  <c r="D24" i="9" s="1"/>
  <c r="J329" i="9"/>
  <c r="E7" i="7"/>
  <c r="G7" i="7"/>
  <c r="H7" i="7"/>
  <c r="F9" i="7"/>
  <c r="F10" i="7"/>
  <c r="F11" i="7"/>
  <c r="F12" i="7"/>
  <c r="E14" i="7"/>
  <c r="G14" i="7"/>
  <c r="H14" i="7"/>
  <c r="F15" i="7"/>
  <c r="E16" i="7"/>
  <c r="G16" i="7"/>
  <c r="H16" i="7"/>
  <c r="F17" i="7"/>
  <c r="F18" i="7"/>
  <c r="F19" i="7"/>
  <c r="E20" i="7"/>
  <c r="G20" i="7"/>
  <c r="H20" i="7"/>
  <c r="F21" i="7"/>
  <c r="F25" i="7"/>
  <c r="F22" i="7" s="1"/>
  <c r="F31" i="7"/>
  <c r="F29" i="7" s="1"/>
  <c r="F34" i="7"/>
  <c r="F42" i="7"/>
  <c r="F44" i="7"/>
  <c r="G46" i="7"/>
  <c r="H46" i="7"/>
  <c r="F47" i="7"/>
  <c r="E51" i="7"/>
  <c r="G51" i="7"/>
  <c r="H51" i="7"/>
  <c r="F52" i="7"/>
  <c r="E54" i="7"/>
  <c r="E53" i="7" s="1"/>
  <c r="G54" i="7"/>
  <c r="G53" i="7" s="1"/>
  <c r="H54" i="7"/>
  <c r="H53" i="7" s="1"/>
  <c r="F55" i="7"/>
  <c r="F54" i="7" s="1"/>
  <c r="F53" i="7" s="1"/>
  <c r="E57" i="7"/>
  <c r="G57" i="7"/>
  <c r="H57" i="7"/>
  <c r="F58" i="7"/>
  <c r="F59" i="7"/>
  <c r="E60" i="7"/>
  <c r="G60" i="7"/>
  <c r="H60" i="7"/>
  <c r="F61" i="7"/>
  <c r="F60" i="7" s="1"/>
  <c r="E63" i="7"/>
  <c r="E62" i="7" s="1"/>
  <c r="G63" i="7"/>
  <c r="G62" i="7" s="1"/>
  <c r="H63" i="7"/>
  <c r="H62" i="7" s="1"/>
  <c r="F64" i="7"/>
  <c r="F65" i="7"/>
  <c r="E67" i="7"/>
  <c r="G67" i="7"/>
  <c r="H67" i="7"/>
  <c r="F68" i="7"/>
  <c r="E69" i="7"/>
  <c r="G69" i="7"/>
  <c r="H69" i="7"/>
  <c r="F70" i="7"/>
  <c r="E76" i="7"/>
  <c r="E75" i="7" s="1"/>
  <c r="G76" i="7"/>
  <c r="G75" i="7" s="1"/>
  <c r="H76" i="7"/>
  <c r="H75" i="7" s="1"/>
  <c r="F77" i="7"/>
  <c r="F76" i="7" s="1"/>
  <c r="F75" i="7" s="1"/>
  <c r="E78" i="7"/>
  <c r="G78" i="7"/>
  <c r="H78" i="7"/>
  <c r="F80" i="7"/>
  <c r="E83" i="7"/>
  <c r="E82" i="7" s="1"/>
  <c r="G83" i="7"/>
  <c r="H83" i="7"/>
  <c r="F83" i="7"/>
  <c r="H85" i="7"/>
  <c r="F86" i="7"/>
  <c r="F87" i="7"/>
  <c r="E89" i="7"/>
  <c r="G89" i="7"/>
  <c r="H89" i="7"/>
  <c r="F90" i="7"/>
  <c r="G91" i="7"/>
  <c r="H91" i="7"/>
  <c r="F92" i="7"/>
  <c r="F95" i="7"/>
  <c r="E96" i="7"/>
  <c r="G96" i="7"/>
  <c r="H96" i="7"/>
  <c r="F97" i="7"/>
  <c r="F96" i="7" s="1"/>
  <c r="F99" i="7"/>
  <c r="F98" i="7" s="1"/>
  <c r="G101" i="7"/>
  <c r="H101" i="7"/>
  <c r="F102" i="7"/>
  <c r="F104" i="7"/>
  <c r="E106" i="7"/>
  <c r="G106" i="7"/>
  <c r="H106" i="7"/>
  <c r="F108" i="7"/>
  <c r="F106" i="7" s="1"/>
  <c r="E109" i="7"/>
  <c r="G109" i="7"/>
  <c r="H109" i="7"/>
  <c r="F110" i="7"/>
  <c r="F111" i="7"/>
  <c r="E8" i="6"/>
  <c r="F8" i="6"/>
  <c r="H8" i="6"/>
  <c r="J8" i="6"/>
  <c r="K8" i="6"/>
  <c r="I9" i="6"/>
  <c r="I10" i="6"/>
  <c r="E11" i="6"/>
  <c r="F11" i="6"/>
  <c r="H11" i="6"/>
  <c r="J11" i="6"/>
  <c r="K11" i="6"/>
  <c r="I12" i="6"/>
  <c r="I13" i="6"/>
  <c r="E14" i="6"/>
  <c r="F14" i="6"/>
  <c r="K14" i="6"/>
  <c r="H14" i="6"/>
  <c r="J14" i="6"/>
  <c r="E20" i="6"/>
  <c r="E19" i="6" s="1"/>
  <c r="F20" i="6"/>
  <c r="F19" i="6" s="1"/>
  <c r="H20" i="6"/>
  <c r="H19" i="6" s="1"/>
  <c r="J19" i="6"/>
  <c r="K20" i="6"/>
  <c r="K19" i="6" s="1"/>
  <c r="I21" i="6"/>
  <c r="I20" i="6" s="1"/>
  <c r="I19" i="6" s="1"/>
  <c r="E25" i="6"/>
  <c r="F25" i="6"/>
  <c r="H25" i="6"/>
  <c r="J25" i="6"/>
  <c r="K25" i="6"/>
  <c r="I26" i="6"/>
  <c r="E30" i="6"/>
  <c r="F30" i="6"/>
  <c r="H30" i="6"/>
  <c r="J30" i="6"/>
  <c r="K30" i="6"/>
  <c r="E27" i="6"/>
  <c r="F27" i="6"/>
  <c r="H27" i="6"/>
  <c r="J27" i="6"/>
  <c r="K27" i="6"/>
  <c r="I28" i="6"/>
  <c r="I29" i="6"/>
  <c r="E88" i="7" l="1"/>
  <c r="E13" i="7"/>
  <c r="E112" i="7" s="1"/>
  <c r="J7" i="6"/>
  <c r="E7" i="6"/>
  <c r="F7" i="6"/>
  <c r="F85" i="7"/>
  <c r="F82" i="7" s="1"/>
  <c r="F8" i="7"/>
  <c r="F7" i="7" s="1"/>
  <c r="F51" i="7"/>
  <c r="K7" i="6"/>
  <c r="H7" i="6"/>
  <c r="H13" i="7"/>
  <c r="H112" i="7" s="1"/>
  <c r="G13" i="7"/>
  <c r="H105" i="7"/>
  <c r="G105" i="7"/>
  <c r="E105" i="7"/>
  <c r="F79" i="7"/>
  <c r="F78" i="7" s="1"/>
  <c r="E66" i="7"/>
  <c r="H66" i="7"/>
  <c r="G66" i="7"/>
  <c r="F41" i="7"/>
  <c r="H56" i="7"/>
  <c r="H24" i="6"/>
  <c r="H88" i="7"/>
  <c r="G88" i="7"/>
  <c r="G56" i="7"/>
  <c r="G112" i="7" s="1"/>
  <c r="E56" i="7"/>
  <c r="K24" i="6"/>
  <c r="J24" i="6"/>
  <c r="F24" i="6"/>
  <c r="E24" i="6"/>
  <c r="I27" i="6"/>
  <c r="E45" i="7"/>
  <c r="F101" i="7"/>
  <c r="F69" i="7"/>
  <c r="I14" i="6"/>
  <c r="I30" i="6"/>
  <c r="I25" i="6"/>
  <c r="F46" i="7"/>
  <c r="I11" i="6"/>
  <c r="G82" i="7"/>
  <c r="H45" i="7"/>
  <c r="F91" i="7"/>
  <c r="F89" i="7"/>
  <c r="F67" i="7"/>
  <c r="F63" i="7"/>
  <c r="F62" i="7" s="1"/>
  <c r="G45" i="7"/>
  <c r="F20" i="7"/>
  <c r="F57" i="7"/>
  <c r="F56" i="7" s="1"/>
  <c r="I8" i="6"/>
  <c r="F109" i="7"/>
  <c r="F105" i="7" s="1"/>
  <c r="H82" i="7"/>
  <c r="F16" i="7"/>
  <c r="F14" i="7"/>
  <c r="E8" i="5"/>
  <c r="E7" i="5" s="1"/>
  <c r="F8" i="5"/>
  <c r="F7" i="5" s="1"/>
  <c r="H8" i="5"/>
  <c r="H7" i="5" s="1"/>
  <c r="J8" i="5"/>
  <c r="J7" i="5" s="1"/>
  <c r="K8" i="5"/>
  <c r="K7" i="5" s="1"/>
  <c r="I9" i="5"/>
  <c r="I10" i="5"/>
  <c r="I11" i="5"/>
  <c r="I12" i="5"/>
  <c r="I13" i="5"/>
  <c r="I14" i="5"/>
  <c r="I15" i="5"/>
  <c r="E17" i="5"/>
  <c r="F17" i="5"/>
  <c r="H17" i="5"/>
  <c r="J17" i="5"/>
  <c r="K17" i="5"/>
  <c r="I19" i="5"/>
  <c r="E20" i="5"/>
  <c r="F20" i="5"/>
  <c r="H20" i="5"/>
  <c r="J20" i="5"/>
  <c r="K20" i="5"/>
  <c r="I21" i="5"/>
  <c r="I20" i="5" s="1"/>
  <c r="E22" i="5"/>
  <c r="F22" i="5"/>
  <c r="H22" i="5"/>
  <c r="J22" i="5"/>
  <c r="K22" i="5"/>
  <c r="I23" i="5"/>
  <c r="I22" i="5" s="1"/>
  <c r="E25" i="5"/>
  <c r="E24" i="5" s="1"/>
  <c r="F25" i="5"/>
  <c r="F24" i="5" s="1"/>
  <c r="H25" i="5"/>
  <c r="H24" i="5" s="1"/>
  <c r="I25" i="5"/>
  <c r="I24" i="5" s="1"/>
  <c r="J25" i="5"/>
  <c r="J24" i="5" s="1"/>
  <c r="K25" i="5"/>
  <c r="K24" i="5" s="1"/>
  <c r="E28" i="5"/>
  <c r="E27" i="5" s="1"/>
  <c r="F28" i="5"/>
  <c r="F27" i="5" s="1"/>
  <c r="H28" i="5"/>
  <c r="H27" i="5" s="1"/>
  <c r="I28" i="5"/>
  <c r="I27" i="5" s="1"/>
  <c r="J28" i="5"/>
  <c r="J27" i="5" s="1"/>
  <c r="K28" i="5"/>
  <c r="K27" i="5" s="1"/>
  <c r="E35" i="5"/>
  <c r="F35" i="5"/>
  <c r="H35" i="5"/>
  <c r="H30" i="5" s="1"/>
  <c r="J35" i="5"/>
  <c r="J30" i="5" s="1"/>
  <c r="K35" i="5"/>
  <c r="K30" i="5" s="1"/>
  <c r="I35" i="5"/>
  <c r="I30" i="5" s="1"/>
  <c r="E37" i="5"/>
  <c r="F37" i="5"/>
  <c r="E45" i="5"/>
  <c r="E44" i="5" s="1"/>
  <c r="F44" i="5"/>
  <c r="H45" i="5"/>
  <c r="H44" i="5" s="1"/>
  <c r="J45" i="5"/>
  <c r="J44" i="5" s="1"/>
  <c r="K45" i="5"/>
  <c r="K44" i="5" s="1"/>
  <c r="I45" i="5"/>
  <c r="I44" i="5" s="1"/>
  <c r="E49" i="5"/>
  <c r="F49" i="5"/>
  <c r="H49" i="5"/>
  <c r="J49" i="5"/>
  <c r="K49" i="5"/>
  <c r="I50" i="5"/>
  <c r="I51" i="5"/>
  <c r="I52" i="5"/>
  <c r="I53" i="5"/>
  <c r="I54" i="5"/>
  <c r="E55" i="5"/>
  <c r="F55" i="5"/>
  <c r="H55" i="5"/>
  <c r="J55" i="5"/>
  <c r="K55" i="5"/>
  <c r="I56" i="5"/>
  <c r="I57" i="5"/>
  <c r="I58" i="5"/>
  <c r="I60" i="5"/>
  <c r="E61" i="5"/>
  <c r="H61" i="5"/>
  <c r="J61" i="5"/>
  <c r="K61" i="5"/>
  <c r="I62" i="5"/>
  <c r="I63" i="5"/>
  <c r="I64" i="5"/>
  <c r="I65" i="5"/>
  <c r="E66" i="5"/>
  <c r="F66" i="5"/>
  <c r="H66" i="5"/>
  <c r="J66" i="5"/>
  <c r="K66" i="5"/>
  <c r="I67" i="5"/>
  <c r="I68" i="5"/>
  <c r="I69" i="5"/>
  <c r="I70" i="5"/>
  <c r="J32" i="6" l="1"/>
  <c r="E32" i="6"/>
  <c r="I7" i="6"/>
  <c r="F30" i="5"/>
  <c r="E30" i="5"/>
  <c r="F32" i="6"/>
  <c r="H32" i="6"/>
  <c r="K32" i="6"/>
  <c r="F13" i="7"/>
  <c r="F66" i="7"/>
  <c r="F88" i="7"/>
  <c r="F112" i="7" s="1"/>
  <c r="I24" i="6"/>
  <c r="I32" i="6" s="1"/>
  <c r="J16" i="5"/>
  <c r="F45" i="7"/>
  <c r="K16" i="5"/>
  <c r="F16" i="5"/>
  <c r="E16" i="5"/>
  <c r="H16" i="5"/>
  <c r="F48" i="5"/>
  <c r="I61" i="5"/>
  <c r="E48" i="5"/>
  <c r="I17" i="5"/>
  <c r="I16" i="5" s="1"/>
  <c r="I8" i="5"/>
  <c r="I7" i="5" s="1"/>
  <c r="I49" i="5"/>
  <c r="I66" i="5"/>
  <c r="I55" i="5"/>
  <c r="K48" i="5"/>
  <c r="H48" i="5"/>
  <c r="J48" i="5"/>
  <c r="E8" i="4"/>
  <c r="E7" i="4" s="1"/>
  <c r="F8" i="4"/>
  <c r="F7" i="4" s="1"/>
  <c r="J8" i="4"/>
  <c r="J7" i="4" s="1"/>
  <c r="K8" i="4"/>
  <c r="K7" i="4" s="1"/>
  <c r="I9" i="4"/>
  <c r="H9" i="4" s="1"/>
  <c r="G9" i="4" s="1"/>
  <c r="O9" i="4" s="1"/>
  <c r="I10" i="4"/>
  <c r="H10" i="4" s="1"/>
  <c r="G10" i="4" s="1"/>
  <c r="O10" i="4" s="1"/>
  <c r="I11" i="4"/>
  <c r="H11" i="4" s="1"/>
  <c r="G11" i="4" s="1"/>
  <c r="O11" i="4" s="1"/>
  <c r="I13" i="4"/>
  <c r="H13" i="4" s="1"/>
  <c r="G13" i="4" s="1"/>
  <c r="O13" i="4" s="1"/>
  <c r="E15" i="4"/>
  <c r="F15" i="4"/>
  <c r="L15" i="4"/>
  <c r="L14" i="4" s="1"/>
  <c r="H16" i="4"/>
  <c r="G16" i="4" s="1"/>
  <c r="O16" i="4" s="1"/>
  <c r="H17" i="4"/>
  <c r="G17" i="4" s="1"/>
  <c r="O17" i="4" s="1"/>
  <c r="H18" i="4"/>
  <c r="G18" i="4" s="1"/>
  <c r="O18" i="4" s="1"/>
  <c r="H19" i="4"/>
  <c r="G19" i="4" s="1"/>
  <c r="O19" i="4" s="1"/>
  <c r="E20" i="4"/>
  <c r="F20" i="4"/>
  <c r="J20" i="4"/>
  <c r="K20" i="4"/>
  <c r="K14" i="4" s="1"/>
  <c r="I21" i="4"/>
  <c r="H21" i="4" s="1"/>
  <c r="G21" i="4" s="1"/>
  <c r="O21" i="4" s="1"/>
  <c r="I22" i="4"/>
  <c r="H22" i="4" s="1"/>
  <c r="G22" i="4" s="1"/>
  <c r="O22" i="4" s="1"/>
  <c r="I23" i="4"/>
  <c r="H23" i="4" s="1"/>
  <c r="G23" i="4" s="1"/>
  <c r="O23" i="4" s="1"/>
  <c r="I24" i="4"/>
  <c r="H24" i="4" s="1"/>
  <c r="G24" i="4" s="1"/>
  <c r="O24" i="4" s="1"/>
  <c r="E26" i="4"/>
  <c r="E25" i="4" s="1"/>
  <c r="F26" i="4"/>
  <c r="F25" i="4" s="1"/>
  <c r="J26" i="4"/>
  <c r="K26" i="4"/>
  <c r="K25" i="4" s="1"/>
  <c r="I27" i="4"/>
  <c r="H27" i="4" s="1"/>
  <c r="G27" i="4" s="1"/>
  <c r="O27" i="4" s="1"/>
  <c r="I28" i="4"/>
  <c r="H28" i="4" s="1"/>
  <c r="G28" i="4" s="1"/>
  <c r="O28" i="4" s="1"/>
  <c r="I29" i="4"/>
  <c r="H29" i="4" s="1"/>
  <c r="G29" i="4" s="1"/>
  <c r="O29" i="4" s="1"/>
  <c r="E31" i="4"/>
  <c r="E30" i="4" s="1"/>
  <c r="F31" i="4"/>
  <c r="F30" i="4" s="1"/>
  <c r="J31" i="4"/>
  <c r="J30" i="4" s="1"/>
  <c r="K31" i="4"/>
  <c r="K30" i="4" s="1"/>
  <c r="I32" i="4"/>
  <c r="H32" i="4" s="1"/>
  <c r="G32" i="4" s="1"/>
  <c r="O32" i="4" s="1"/>
  <c r="I33" i="4"/>
  <c r="H33" i="4" s="1"/>
  <c r="G33" i="4" s="1"/>
  <c r="O33" i="4" s="1"/>
  <c r="I34" i="4"/>
  <c r="H34" i="4" s="1"/>
  <c r="G34" i="4" s="1"/>
  <c r="O34" i="4" s="1"/>
  <c r="I35" i="4"/>
  <c r="H35" i="4" s="1"/>
  <c r="G35" i="4" s="1"/>
  <c r="O35" i="4" s="1"/>
  <c r="E37" i="4"/>
  <c r="F37" i="4"/>
  <c r="J37" i="4"/>
  <c r="K37" i="4"/>
  <c r="I38" i="4"/>
  <c r="H38" i="4" s="1"/>
  <c r="G38" i="4" s="1"/>
  <c r="O38" i="4" s="1"/>
  <c r="I39" i="4"/>
  <c r="H39" i="4" s="1"/>
  <c r="G39" i="4" s="1"/>
  <c r="O39" i="4" s="1"/>
  <c r="I40" i="4"/>
  <c r="H40" i="4" s="1"/>
  <c r="G40" i="4" s="1"/>
  <c r="O40" i="4" s="1"/>
  <c r="E41" i="4"/>
  <c r="F41" i="4"/>
  <c r="J41" i="4"/>
  <c r="K41" i="4"/>
  <c r="I42" i="4"/>
  <c r="H42" i="4" s="1"/>
  <c r="G42" i="4" s="1"/>
  <c r="O42" i="4" s="1"/>
  <c r="G43" i="4"/>
  <c r="O43" i="4" s="1"/>
  <c r="I44" i="4"/>
  <c r="H44" i="4" s="1"/>
  <c r="G44" i="4" s="1"/>
  <c r="O44" i="4" s="1"/>
  <c r="I45" i="4"/>
  <c r="H45" i="4" s="1"/>
  <c r="G45" i="4" s="1"/>
  <c r="O45" i="4" s="1"/>
  <c r="I46" i="4"/>
  <c r="H46" i="4" s="1"/>
  <c r="G46" i="4" s="1"/>
  <c r="O46" i="4" s="1"/>
  <c r="E47" i="4"/>
  <c r="F47" i="4"/>
  <c r="J47" i="4"/>
  <c r="K47" i="4"/>
  <c r="M47" i="4"/>
  <c r="M36" i="4" s="1"/>
  <c r="N47" i="4"/>
  <c r="N36" i="4" s="1"/>
  <c r="H48" i="4"/>
  <c r="G48" i="4" s="1"/>
  <c r="O48" i="4" s="1"/>
  <c r="I49" i="4"/>
  <c r="H49" i="4" s="1"/>
  <c r="G49" i="4" s="1"/>
  <c r="O49" i="4" s="1"/>
  <c r="I50" i="4"/>
  <c r="H50" i="4" s="1"/>
  <c r="G50" i="4" s="1"/>
  <c r="O50" i="4" s="1"/>
  <c r="I51" i="4"/>
  <c r="H51" i="4" s="1"/>
  <c r="G51" i="4" s="1"/>
  <c r="O51" i="4" s="1"/>
  <c r="I53" i="4"/>
  <c r="H53" i="4" s="1"/>
  <c r="G53" i="4" s="1"/>
  <c r="O53" i="4" s="1"/>
  <c r="I54" i="4"/>
  <c r="H54" i="4" s="1"/>
  <c r="G54" i="4" s="1"/>
  <c r="O54" i="4" s="1"/>
  <c r="I55" i="4"/>
  <c r="H55" i="4" s="1"/>
  <c r="G55" i="4" s="1"/>
  <c r="O55" i="4" s="1"/>
  <c r="G58" i="4"/>
  <c r="O58" i="4" s="1"/>
  <c r="E60" i="4"/>
  <c r="E59" i="4" s="1"/>
  <c r="F60" i="4"/>
  <c r="F59" i="4" s="1"/>
  <c r="K60" i="4"/>
  <c r="K59" i="4" s="1"/>
  <c r="I61" i="4"/>
  <c r="H61" i="4" s="1"/>
  <c r="G61" i="4" s="1"/>
  <c r="O61" i="4" s="1"/>
  <c r="E64" i="4"/>
  <c r="F64" i="4"/>
  <c r="N64" i="4"/>
  <c r="G65" i="4"/>
  <c r="O65" i="4" s="1"/>
  <c r="E66" i="4"/>
  <c r="F66" i="4"/>
  <c r="J66" i="4"/>
  <c r="K66" i="4"/>
  <c r="L66" i="4"/>
  <c r="L63" i="4" s="1"/>
  <c r="N66" i="4"/>
  <c r="I67" i="4"/>
  <c r="H67" i="4" s="1"/>
  <c r="G67" i="4" s="1"/>
  <c r="O67" i="4" s="1"/>
  <c r="I68" i="4"/>
  <c r="H68" i="4" s="1"/>
  <c r="G68" i="4" s="1"/>
  <c r="O68" i="4" s="1"/>
  <c r="I69" i="4"/>
  <c r="H69" i="4" s="1"/>
  <c r="G69" i="4" s="1"/>
  <c r="O69" i="4" s="1"/>
  <c r="I70" i="4"/>
  <c r="H70" i="4" s="1"/>
  <c r="G70" i="4" s="1"/>
  <c r="O70" i="4" s="1"/>
  <c r="I71" i="4"/>
  <c r="H71" i="4" s="1"/>
  <c r="G71" i="4" s="1"/>
  <c r="O71" i="4" s="1"/>
  <c r="E72" i="4"/>
  <c r="F72" i="4"/>
  <c r="J72" i="4"/>
  <c r="K72" i="4"/>
  <c r="I73" i="4"/>
  <c r="H73" i="4" s="1"/>
  <c r="G73" i="4" s="1"/>
  <c r="O73" i="4" s="1"/>
  <c r="I74" i="4"/>
  <c r="H74" i="4" s="1"/>
  <c r="G74" i="4" s="1"/>
  <c r="O74" i="4" s="1"/>
  <c r="E76" i="4"/>
  <c r="E75" i="4" s="1"/>
  <c r="F76" i="4"/>
  <c r="F75" i="4" s="1"/>
  <c r="G76" i="4"/>
  <c r="G75" i="4" s="1"/>
  <c r="H76" i="4"/>
  <c r="H75" i="4" s="1"/>
  <c r="I76" i="4"/>
  <c r="I75" i="4" s="1"/>
  <c r="J76" i="4"/>
  <c r="J75" i="4" s="1"/>
  <c r="K76" i="4"/>
  <c r="K75" i="4" s="1"/>
  <c r="L76" i="4"/>
  <c r="L75" i="4" s="1"/>
  <c r="M76" i="4"/>
  <c r="M75" i="4" s="1"/>
  <c r="O78" i="4"/>
  <c r="E81" i="4"/>
  <c r="E80" i="4" s="1"/>
  <c r="F81" i="4"/>
  <c r="F80" i="4" s="1"/>
  <c r="J81" i="4"/>
  <c r="K81" i="4"/>
  <c r="K80" i="4" s="1"/>
  <c r="M81" i="4"/>
  <c r="M80" i="4" s="1"/>
  <c r="H82" i="4"/>
  <c r="G82" i="4" s="1"/>
  <c r="O82" i="4" s="1"/>
  <c r="I83" i="4"/>
  <c r="H83" i="4" s="1"/>
  <c r="G83" i="4" s="1"/>
  <c r="O83" i="4" s="1"/>
  <c r="I84" i="4"/>
  <c r="H84" i="4" s="1"/>
  <c r="G84" i="4" s="1"/>
  <c r="O84" i="4" s="1"/>
  <c r="I85" i="4"/>
  <c r="H85" i="4" s="1"/>
  <c r="G85" i="4" s="1"/>
  <c r="O85" i="4" s="1"/>
  <c r="I86" i="4"/>
  <c r="H86" i="4" s="1"/>
  <c r="G86" i="4" s="1"/>
  <c r="O86" i="4" s="1"/>
  <c r="I87" i="4"/>
  <c r="H87" i="4" s="1"/>
  <c r="G87" i="4" s="1"/>
  <c r="O87" i="4" s="1"/>
  <c r="O89" i="4"/>
  <c r="I90" i="4"/>
  <c r="H90" i="4" s="1"/>
  <c r="G90" i="4" s="1"/>
  <c r="O90" i="4" s="1"/>
  <c r="I91" i="4"/>
  <c r="H91" i="4" s="1"/>
  <c r="G91" i="4" s="1"/>
  <c r="O91" i="4" s="1"/>
  <c r="I92" i="4"/>
  <c r="H92" i="4" s="1"/>
  <c r="G92" i="4" s="1"/>
  <c r="O92" i="4" s="1"/>
  <c r="I93" i="4"/>
  <c r="H93" i="4" s="1"/>
  <c r="G93" i="4" s="1"/>
  <c r="O93" i="4" s="1"/>
  <c r="I94" i="4"/>
  <c r="H94" i="4" s="1"/>
  <c r="G94" i="4" s="1"/>
  <c r="O94" i="4" s="1"/>
  <c r="I95" i="4"/>
  <c r="H95" i="4" s="1"/>
  <c r="G95" i="4" s="1"/>
  <c r="O95" i="4" s="1"/>
  <c r="I96" i="4"/>
  <c r="H96" i="4" s="1"/>
  <c r="G96" i="4" s="1"/>
  <c r="O96" i="4" s="1"/>
  <c r="I97" i="4"/>
  <c r="H97" i="4" s="1"/>
  <c r="G97" i="4" s="1"/>
  <c r="O97" i="4" s="1"/>
  <c r="I98" i="4"/>
  <c r="H98" i="4" s="1"/>
  <c r="G98" i="4" s="1"/>
  <c r="O98" i="4" s="1"/>
  <c r="I99" i="4"/>
  <c r="H99" i="4" s="1"/>
  <c r="G99" i="4" s="1"/>
  <c r="O99" i="4" s="1"/>
  <c r="I100" i="4"/>
  <c r="H100" i="4" s="1"/>
  <c r="G100" i="4" s="1"/>
  <c r="O100" i="4" s="1"/>
  <c r="I101" i="4"/>
  <c r="H101" i="4" s="1"/>
  <c r="G101" i="4" s="1"/>
  <c r="O101" i="4" s="1"/>
  <c r="I102" i="4"/>
  <c r="H102" i="4" s="1"/>
  <c r="G102" i="4" s="1"/>
  <c r="O102" i="4" s="1"/>
  <c r="I103" i="4"/>
  <c r="H103" i="4" s="1"/>
  <c r="G103" i="4" s="1"/>
  <c r="O103" i="4" s="1"/>
  <c r="E105" i="4"/>
  <c r="E104" i="4" s="1"/>
  <c r="J105" i="4"/>
  <c r="J104" i="4" s="1"/>
  <c r="I106" i="4"/>
  <c r="H106" i="4" s="1"/>
  <c r="G106" i="4" s="1"/>
  <c r="O106" i="4" s="1"/>
  <c r="G251" i="4"/>
  <c r="E6" i="3"/>
  <c r="F6" i="3"/>
  <c r="G6" i="3"/>
  <c r="H7" i="3"/>
  <c r="H8" i="3"/>
  <c r="E9" i="3"/>
  <c r="F9" i="3"/>
  <c r="G9" i="3"/>
  <c r="H10" i="3"/>
  <c r="E12" i="3"/>
  <c r="F12" i="3"/>
  <c r="G12" i="3"/>
  <c r="H13" i="3"/>
  <c r="E14" i="3"/>
  <c r="F14" i="3"/>
  <c r="G14" i="3"/>
  <c r="H15" i="3"/>
  <c r="E17" i="3"/>
  <c r="E16" i="3" s="1"/>
  <c r="F17" i="3"/>
  <c r="F16" i="3" s="1"/>
  <c r="G17" i="3"/>
  <c r="G16" i="3" s="1"/>
  <c r="H18" i="3"/>
  <c r="E20" i="3"/>
  <c r="F20" i="3"/>
  <c r="G20" i="3"/>
  <c r="H21" i="3"/>
  <c r="E22" i="3"/>
  <c r="F22" i="3"/>
  <c r="G22" i="3"/>
  <c r="E25" i="3"/>
  <c r="F25" i="3"/>
  <c r="G25" i="3"/>
  <c r="H26" i="3"/>
  <c r="E27" i="3"/>
  <c r="F27" i="3"/>
  <c r="G27" i="3"/>
  <c r="H28" i="3"/>
  <c r="E29" i="3"/>
  <c r="F29" i="3"/>
  <c r="G29" i="3"/>
  <c r="H30" i="3"/>
  <c r="E32" i="3"/>
  <c r="E31" i="3" s="1"/>
  <c r="F32" i="3"/>
  <c r="F31" i="3" s="1"/>
  <c r="G32" i="3"/>
  <c r="G31" i="3" s="1"/>
  <c r="H33" i="3"/>
  <c r="E35" i="3"/>
  <c r="F35" i="3"/>
  <c r="G35" i="3"/>
  <c r="H36" i="3"/>
  <c r="E37" i="3"/>
  <c r="F37" i="3"/>
  <c r="G37" i="3"/>
  <c r="H38" i="3"/>
  <c r="E39" i="3"/>
  <c r="F39" i="3"/>
  <c r="G39" i="3"/>
  <c r="H40" i="3"/>
  <c r="E42" i="3"/>
  <c r="E41" i="3" s="1"/>
  <c r="F42" i="3"/>
  <c r="F41" i="3" s="1"/>
  <c r="G42" i="3"/>
  <c r="G41" i="3" s="1"/>
  <c r="H43" i="3"/>
  <c r="E45" i="3"/>
  <c r="E44" i="3" s="1"/>
  <c r="F45" i="3"/>
  <c r="F44" i="3" s="1"/>
  <c r="G45" i="3"/>
  <c r="G44" i="3" s="1"/>
  <c r="H46" i="3"/>
  <c r="E48" i="3"/>
  <c r="E47" i="3" s="1"/>
  <c r="F48" i="3"/>
  <c r="F47" i="3" s="1"/>
  <c r="G48" i="3"/>
  <c r="G47" i="3" s="1"/>
  <c r="H49" i="3"/>
  <c r="D168" i="3"/>
  <c r="G34" i="3" l="1"/>
  <c r="F34" i="3"/>
  <c r="M113" i="4"/>
  <c r="L113" i="4"/>
  <c r="E34" i="3"/>
  <c r="I104" i="4"/>
  <c r="H104" i="4" s="1"/>
  <c r="I7" i="4"/>
  <c r="I20" i="4"/>
  <c r="J63" i="4"/>
  <c r="F63" i="4"/>
  <c r="E63" i="4"/>
  <c r="G64" i="4"/>
  <c r="O64" i="4" s="1"/>
  <c r="N63" i="4"/>
  <c r="N113" i="4" s="1"/>
  <c r="K63" i="4"/>
  <c r="I48" i="5"/>
  <c r="I71" i="5" s="1"/>
  <c r="F71" i="5"/>
  <c r="H44" i="3"/>
  <c r="H37" i="3"/>
  <c r="H31" i="3"/>
  <c r="I47" i="4"/>
  <c r="H47" i="4" s="1"/>
  <c r="G47" i="4" s="1"/>
  <c r="O47" i="4" s="1"/>
  <c r="O75" i="4"/>
  <c r="H48" i="3"/>
  <c r="H20" i="3"/>
  <c r="I37" i="4"/>
  <c r="H37" i="4" s="1"/>
  <c r="H29" i="3"/>
  <c r="F19" i="3"/>
  <c r="E14" i="4"/>
  <c r="H14" i="3"/>
  <c r="I8" i="4"/>
  <c r="E71" i="5"/>
  <c r="H17" i="3"/>
  <c r="H6" i="3"/>
  <c r="H45" i="3"/>
  <c r="F11" i="3"/>
  <c r="I81" i="4"/>
  <c r="H81" i="4" s="1"/>
  <c r="G81" i="4" s="1"/>
  <c r="O81" i="4" s="1"/>
  <c r="I60" i="4"/>
  <c r="H60" i="4" s="1"/>
  <c r="H59" i="4" s="1"/>
  <c r="F36" i="4"/>
  <c r="I26" i="4"/>
  <c r="H26" i="4" s="1"/>
  <c r="H71" i="5"/>
  <c r="J71" i="5"/>
  <c r="I105" i="4"/>
  <c r="H105" i="4" s="1"/>
  <c r="G105" i="4" s="1"/>
  <c r="G24" i="3"/>
  <c r="E36" i="4"/>
  <c r="H47" i="3"/>
  <c r="H27" i="3"/>
  <c r="J80" i="4"/>
  <c r="I80" i="4" s="1"/>
  <c r="H80" i="4" s="1"/>
  <c r="G80" i="4" s="1"/>
  <c r="O80" i="4" s="1"/>
  <c r="I41" i="4"/>
  <c r="H41" i="4" s="1"/>
  <c r="G41" i="4" s="1"/>
  <c r="O41" i="4" s="1"/>
  <c r="K36" i="4"/>
  <c r="H15" i="4"/>
  <c r="G15" i="4" s="1"/>
  <c r="F24" i="3"/>
  <c r="H16" i="3"/>
  <c r="I72" i="4"/>
  <c r="I66" i="4"/>
  <c r="H66" i="4" s="1"/>
  <c r="G66" i="4" s="1"/>
  <c r="O66" i="4" s="1"/>
  <c r="E19" i="3"/>
  <c r="H9" i="3"/>
  <c r="G5" i="3"/>
  <c r="I31" i="4"/>
  <c r="I30" i="4" s="1"/>
  <c r="H39" i="3"/>
  <c r="H32" i="3"/>
  <c r="G19" i="3"/>
  <c r="G11" i="3"/>
  <c r="F5" i="3"/>
  <c r="K71" i="5"/>
  <c r="H25" i="3"/>
  <c r="E5" i="3"/>
  <c r="O76" i="4"/>
  <c r="H41" i="3"/>
  <c r="E24" i="3"/>
  <c r="E11" i="3"/>
  <c r="H42" i="3"/>
  <c r="H35" i="3"/>
  <c r="H12" i="3"/>
  <c r="J14" i="4"/>
  <c r="F14" i="4"/>
  <c r="J36" i="4"/>
  <c r="J25" i="4"/>
  <c r="K113" i="4" l="1"/>
  <c r="G52" i="3"/>
  <c r="E113" i="4"/>
  <c r="F52" i="3"/>
  <c r="F113" i="4"/>
  <c r="J113" i="4"/>
  <c r="G104" i="4"/>
  <c r="O104" i="4" s="1"/>
  <c r="H8" i="4"/>
  <c r="H72" i="4"/>
  <c r="I63" i="4"/>
  <c r="E52" i="3"/>
  <c r="H24" i="3"/>
  <c r="I36" i="4"/>
  <c r="H19" i="3"/>
  <c r="H11" i="3"/>
  <c r="O105" i="4"/>
  <c r="H5" i="3"/>
  <c r="I25" i="4"/>
  <c r="H34" i="3"/>
  <c r="H31" i="4"/>
  <c r="H30" i="4" s="1"/>
  <c r="I59" i="4"/>
  <c r="G60" i="4"/>
  <c r="O60" i="4" s="1"/>
  <c r="O15" i="4"/>
  <c r="G26" i="4"/>
  <c r="H25" i="4"/>
  <c r="H20" i="4"/>
  <c r="I14" i="4"/>
  <c r="H36" i="4"/>
  <c r="G37" i="4"/>
  <c r="I113" i="4" l="1"/>
  <c r="G8" i="4"/>
  <c r="H7" i="4"/>
  <c r="G72" i="4"/>
  <c r="H63" i="4"/>
  <c r="G31" i="4"/>
  <c r="G59" i="4"/>
  <c r="O59" i="4" s="1"/>
  <c r="H52" i="3"/>
  <c r="G20" i="4"/>
  <c r="H14" i="4"/>
  <c r="O37" i="4"/>
  <c r="G36" i="4"/>
  <c r="O36" i="4" s="1"/>
  <c r="G25" i="4"/>
  <c r="O25" i="4" s="1"/>
  <c r="O26" i="4"/>
  <c r="H113" i="4" l="1"/>
  <c r="G30" i="4"/>
  <c r="O30" i="4" s="1"/>
  <c r="O8" i="4"/>
  <c r="G7" i="4"/>
  <c r="O72" i="4"/>
  <c r="G63" i="4"/>
  <c r="O63" i="4" s="1"/>
  <c r="O31" i="4"/>
  <c r="O20" i="4"/>
  <c r="G14" i="4"/>
  <c r="O7" i="4" l="1"/>
  <c r="G113" i="4"/>
  <c r="O14" i="4"/>
  <c r="O113" i="4" l="1"/>
  <c r="H211" i="1" l="1"/>
  <c r="H210" i="1"/>
  <c r="H194" i="1" l="1"/>
  <c r="H193" i="1"/>
  <c r="G609" i="1" l="1"/>
  <c r="G608" i="1" s="1"/>
  <c r="F609" i="1"/>
  <c r="E609" i="1"/>
  <c r="G597" i="1"/>
  <c r="G409" i="1"/>
  <c r="F104" i="1" l="1"/>
  <c r="H100" i="1" l="1"/>
  <c r="H85" i="1"/>
  <c r="F572" i="1" l="1"/>
  <c r="G572" i="1"/>
  <c r="E572" i="1"/>
  <c r="H543" i="1"/>
  <c r="E146" i="1"/>
  <c r="F146" i="1"/>
  <c r="G146" i="1"/>
  <c r="H147" i="1"/>
  <c r="H12" i="1"/>
  <c r="G505" i="1" l="1"/>
  <c r="G483" i="1"/>
  <c r="G478" i="1"/>
  <c r="F505" i="1"/>
  <c r="E505" i="1"/>
  <c r="H511" i="1"/>
  <c r="F483" i="1"/>
  <c r="F482" i="1" s="1"/>
  <c r="E483" i="1"/>
  <c r="E482" i="1" s="1"/>
  <c r="H484" i="1"/>
  <c r="H475" i="1"/>
  <c r="H473" i="1"/>
  <c r="E474" i="1"/>
  <c r="G302" i="1"/>
  <c r="G295" i="1"/>
  <c r="G291" i="1" s="1"/>
  <c r="F295" i="1"/>
  <c r="F291" i="1" s="1"/>
  <c r="E295" i="1"/>
  <c r="E291" i="1" s="1"/>
  <c r="G389" i="1"/>
  <c r="G388" i="1" s="1"/>
  <c r="F389" i="1"/>
  <c r="F388" i="1" s="1"/>
  <c r="E389" i="1"/>
  <c r="E388" i="1" s="1"/>
  <c r="H400" i="1"/>
  <c r="H370" i="1"/>
  <c r="H366" i="1"/>
  <c r="H659" i="1"/>
  <c r="H658" i="1"/>
  <c r="G650" i="1"/>
  <c r="F650" i="1"/>
  <c r="E650" i="1"/>
  <c r="H639" i="1"/>
  <c r="G636" i="1"/>
  <c r="F636" i="1"/>
  <c r="F635" i="1" s="1"/>
  <c r="F634" i="1" s="1"/>
  <c r="E636" i="1"/>
  <c r="E635" i="1" s="1"/>
  <c r="E634" i="1" s="1"/>
  <c r="H632" i="1"/>
  <c r="G630" i="1"/>
  <c r="F630" i="1"/>
  <c r="E630" i="1"/>
  <c r="H627" i="1"/>
  <c r="G624" i="1"/>
  <c r="G623" i="1" s="1"/>
  <c r="F624" i="1"/>
  <c r="F623" i="1" s="1"/>
  <c r="E624" i="1"/>
  <c r="E623" i="1" s="1"/>
  <c r="F620" i="1"/>
  <c r="E620" i="1"/>
  <c r="G615" i="1"/>
  <c r="F615" i="1"/>
  <c r="E615" i="1"/>
  <c r="H611" i="1"/>
  <c r="H610" i="1"/>
  <c r="E608" i="1"/>
  <c r="G604" i="1"/>
  <c r="G596" i="1" s="1"/>
  <c r="F604" i="1"/>
  <c r="E604" i="1"/>
  <c r="F597" i="1"/>
  <c r="E597" i="1"/>
  <c r="H593" i="1"/>
  <c r="G592" i="1"/>
  <c r="G591" i="1" s="1"/>
  <c r="F592" i="1"/>
  <c r="F591" i="1" s="1"/>
  <c r="E592" i="1"/>
  <c r="E591" i="1" s="1"/>
  <c r="G587" i="1"/>
  <c r="G586" i="1" s="1"/>
  <c r="F587" i="1"/>
  <c r="F586" i="1" s="1"/>
  <c r="E587" i="1"/>
  <c r="E586" i="1" s="1"/>
  <c r="G583" i="1"/>
  <c r="G582" i="1" s="1"/>
  <c r="F583" i="1"/>
  <c r="F582" i="1" s="1"/>
  <c r="E583" i="1"/>
  <c r="E582" i="1" s="1"/>
  <c r="H574" i="1"/>
  <c r="G571" i="1"/>
  <c r="F571" i="1"/>
  <c r="E571" i="1"/>
  <c r="H569" i="1"/>
  <c r="H568" i="1"/>
  <c r="H567" i="1"/>
  <c r="G566" i="1"/>
  <c r="F566" i="1"/>
  <c r="F565" i="1" s="1"/>
  <c r="E566" i="1"/>
  <c r="E565" i="1" s="1"/>
  <c r="H563" i="1"/>
  <c r="H560" i="1"/>
  <c r="H559" i="1"/>
  <c r="H558" i="1"/>
  <c r="G557" i="1"/>
  <c r="F557" i="1"/>
  <c r="E557" i="1"/>
  <c r="G556" i="1"/>
  <c r="F556" i="1"/>
  <c r="E556" i="1"/>
  <c r="H553" i="1"/>
  <c r="G550" i="1"/>
  <c r="F550" i="1"/>
  <c r="F549" i="1" s="1"/>
  <c r="E550" i="1"/>
  <c r="E549" i="1" s="1"/>
  <c r="H541" i="1"/>
  <c r="F538" i="1"/>
  <c r="E538" i="1"/>
  <c r="H535" i="1"/>
  <c r="G534" i="1"/>
  <c r="G533" i="1" s="1"/>
  <c r="F534" i="1"/>
  <c r="F533" i="1" s="1"/>
  <c r="E534" i="1"/>
  <c r="E533" i="1" s="1"/>
  <c r="H531" i="1"/>
  <c r="G530" i="1"/>
  <c r="F530" i="1"/>
  <c r="F529" i="1" s="1"/>
  <c r="E530" i="1"/>
  <c r="E529" i="1" s="1"/>
  <c r="G523" i="1"/>
  <c r="F523" i="1"/>
  <c r="E523" i="1"/>
  <c r="H510" i="1"/>
  <c r="H509" i="1"/>
  <c r="H508" i="1"/>
  <c r="H507" i="1"/>
  <c r="H506" i="1"/>
  <c r="H502" i="1"/>
  <c r="H501" i="1"/>
  <c r="H500" i="1"/>
  <c r="H499" i="1"/>
  <c r="H496" i="1"/>
  <c r="F478" i="1"/>
  <c r="E478" i="1"/>
  <c r="G474" i="1"/>
  <c r="F474" i="1"/>
  <c r="H468" i="1"/>
  <c r="H466" i="1"/>
  <c r="H465" i="1"/>
  <c r="H464" i="1"/>
  <c r="G463" i="1"/>
  <c r="F463" i="1"/>
  <c r="E463" i="1"/>
  <c r="H455" i="1"/>
  <c r="H451" i="1"/>
  <c r="H450" i="1"/>
  <c r="G448" i="1"/>
  <c r="F448" i="1"/>
  <c r="F447" i="1" s="1"/>
  <c r="E448" i="1"/>
  <c r="E447" i="1" s="1"/>
  <c r="H443" i="1"/>
  <c r="F441" i="1"/>
  <c r="E441" i="1"/>
  <c r="H438" i="1"/>
  <c r="G437" i="1"/>
  <c r="G436" i="1" s="1"/>
  <c r="F437" i="1"/>
  <c r="E437" i="1"/>
  <c r="E436" i="1" s="1"/>
  <c r="H433" i="1"/>
  <c r="F430" i="1"/>
  <c r="E430" i="1"/>
  <c r="G426" i="1"/>
  <c r="G425" i="1" s="1"/>
  <c r="F426" i="1"/>
  <c r="F425" i="1" s="1"/>
  <c r="E426" i="1"/>
  <c r="E425" i="1" s="1"/>
  <c r="H419" i="1"/>
  <c r="G416" i="1"/>
  <c r="F416" i="1"/>
  <c r="E416" i="1"/>
  <c r="G414" i="1"/>
  <c r="G412" i="1" s="1"/>
  <c r="F414" i="1"/>
  <c r="F413" i="1" s="1"/>
  <c r="F412" i="1" s="1"/>
  <c r="E414" i="1"/>
  <c r="E412" i="1" s="1"/>
  <c r="H410" i="1"/>
  <c r="F409" i="1"/>
  <c r="G407" i="1"/>
  <c r="F407" i="1"/>
  <c r="H404" i="1"/>
  <c r="G403" i="1"/>
  <c r="F403" i="1"/>
  <c r="E403" i="1"/>
  <c r="H402" i="1"/>
  <c r="H398" i="1"/>
  <c r="H390" i="1"/>
  <c r="H385" i="1"/>
  <c r="H384" i="1"/>
  <c r="H383" i="1"/>
  <c r="H380" i="1"/>
  <c r="G378" i="1"/>
  <c r="F378" i="1"/>
  <c r="F377" i="1" s="1"/>
  <c r="E378" i="1"/>
  <c r="E377" i="1" s="1"/>
  <c r="H372" i="1"/>
  <c r="H369" i="1"/>
  <c r="H365" i="1"/>
  <c r="H362" i="1"/>
  <c r="F359" i="1"/>
  <c r="E359" i="1"/>
  <c r="H356" i="1"/>
  <c r="G353" i="1"/>
  <c r="F353" i="1"/>
  <c r="F352" i="1" s="1"/>
  <c r="E353" i="1"/>
  <c r="E352" i="1" s="1"/>
  <c r="H331" i="1"/>
  <c r="H330" i="1"/>
  <c r="F329" i="1"/>
  <c r="F324" i="1" s="1"/>
  <c r="E324" i="1"/>
  <c r="H328" i="1"/>
  <c r="H327" i="1"/>
  <c r="H326" i="1"/>
  <c r="H321" i="1"/>
  <c r="H320" i="1"/>
  <c r="F319" i="1"/>
  <c r="H318" i="1"/>
  <c r="H317" i="1"/>
  <c r="H316" i="1"/>
  <c r="G315" i="1"/>
  <c r="F315" i="1"/>
  <c r="E315" i="1"/>
  <c r="H312" i="1"/>
  <c r="G311" i="1"/>
  <c r="G310" i="1" s="1"/>
  <c r="F311" i="1"/>
  <c r="F310" i="1" s="1"/>
  <c r="H308" i="1"/>
  <c r="G307" i="1"/>
  <c r="F307" i="1"/>
  <c r="F306" i="1" s="1"/>
  <c r="E307" i="1"/>
  <c r="E306" i="1" s="1"/>
  <c r="H304" i="1"/>
  <c r="F302" i="1"/>
  <c r="F301" i="1" s="1"/>
  <c r="E302" i="1"/>
  <c r="E301" i="1" s="1"/>
  <c r="H299" i="1"/>
  <c r="G298" i="1"/>
  <c r="G297" i="1" s="1"/>
  <c r="F298" i="1"/>
  <c r="F297" i="1" s="1"/>
  <c r="E298" i="1"/>
  <c r="E297" i="1" s="1"/>
  <c r="H296" i="1"/>
  <c r="H293" i="1"/>
  <c r="H289" i="1"/>
  <c r="G288" i="1"/>
  <c r="F288" i="1"/>
  <c r="F287" i="1" s="1"/>
  <c r="E288" i="1"/>
  <c r="E287" i="1" s="1"/>
  <c r="H284" i="1"/>
  <c r="H283" i="1"/>
  <c r="G282" i="1"/>
  <c r="F282" i="1"/>
  <c r="F281" i="1" s="1"/>
  <c r="E282" i="1"/>
  <c r="E281" i="1" s="1"/>
  <c r="H279" i="1"/>
  <c r="H277" i="1"/>
  <c r="G275" i="1"/>
  <c r="F275" i="1"/>
  <c r="F274" i="1" s="1"/>
  <c r="E275" i="1"/>
  <c r="E274" i="1" s="1"/>
  <c r="G265" i="1"/>
  <c r="G264" i="1" s="1"/>
  <c r="G263" i="1" s="1"/>
  <c r="F265" i="1"/>
  <c r="F264" i="1" s="1"/>
  <c r="F263" i="1" s="1"/>
  <c r="H262" i="1"/>
  <c r="H260" i="1"/>
  <c r="H259" i="1"/>
  <c r="H257" i="1"/>
  <c r="H256" i="1"/>
  <c r="H254" i="1"/>
  <c r="H253" i="1"/>
  <c r="H249" i="1"/>
  <c r="H247" i="1"/>
  <c r="H246" i="1"/>
  <c r="H245" i="1"/>
  <c r="H243" i="1"/>
  <c r="H242" i="1"/>
  <c r="H241" i="1"/>
  <c r="H239" i="1"/>
  <c r="H238" i="1"/>
  <c r="H236" i="1"/>
  <c r="H235" i="1"/>
  <c r="H226" i="1"/>
  <c r="G225" i="1"/>
  <c r="G224" i="1" s="1"/>
  <c r="G218" i="1"/>
  <c r="G217" i="1" s="1"/>
  <c r="F218" i="1"/>
  <c r="F217" i="1" s="1"/>
  <c r="E218" i="1"/>
  <c r="E217" i="1" s="1"/>
  <c r="H215" i="1"/>
  <c r="H214" i="1"/>
  <c r="G213" i="1"/>
  <c r="F213" i="1"/>
  <c r="F212" i="1" s="1"/>
  <c r="E213" i="1"/>
  <c r="E212" i="1" s="1"/>
  <c r="H204" i="1"/>
  <c r="H200" i="1"/>
  <c r="H198" i="1"/>
  <c r="H197" i="1"/>
  <c r="E191" i="1"/>
  <c r="H185" i="1"/>
  <c r="H184" i="1"/>
  <c r="G183" i="1"/>
  <c r="G182" i="1" s="1"/>
  <c r="F183" i="1"/>
  <c r="F182" i="1" s="1"/>
  <c r="E183" i="1"/>
  <c r="E182" i="1" s="1"/>
  <c r="G177" i="1"/>
  <c r="F177" i="1"/>
  <c r="F176" i="1" s="1"/>
  <c r="E177" i="1"/>
  <c r="E176" i="1" s="1"/>
  <c r="G172" i="1"/>
  <c r="G171" i="1" s="1"/>
  <c r="F172" i="1"/>
  <c r="F171" i="1" s="1"/>
  <c r="E172" i="1"/>
  <c r="E171" i="1" s="1"/>
  <c r="E157" i="1"/>
  <c r="E156" i="1" s="1"/>
  <c r="H154" i="1"/>
  <c r="H153" i="1"/>
  <c r="H151" i="1"/>
  <c r="G150" i="1"/>
  <c r="G149" i="1" s="1"/>
  <c r="F150" i="1"/>
  <c r="F149" i="1" s="1"/>
  <c r="E150" i="1"/>
  <c r="E149" i="1" s="1"/>
  <c r="F145" i="1"/>
  <c r="E145" i="1"/>
  <c r="F137" i="1"/>
  <c r="F126" i="1" s="1"/>
  <c r="E137" i="1"/>
  <c r="H132" i="1"/>
  <c r="H131" i="1"/>
  <c r="H129" i="1"/>
  <c r="H128" i="1"/>
  <c r="H123" i="1"/>
  <c r="G122" i="1"/>
  <c r="G121" i="1" s="1"/>
  <c r="G120" i="1" s="1"/>
  <c r="F122" i="1"/>
  <c r="F121" i="1" s="1"/>
  <c r="F120" i="1" s="1"/>
  <c r="E122" i="1"/>
  <c r="E121" i="1" s="1"/>
  <c r="E120" i="1" s="1"/>
  <c r="H118" i="1"/>
  <c r="H117" i="1"/>
  <c r="H116" i="1"/>
  <c r="G115" i="1"/>
  <c r="F115" i="1"/>
  <c r="F114" i="1" s="1"/>
  <c r="E115" i="1"/>
  <c r="E114" i="1" s="1"/>
  <c r="H111" i="1"/>
  <c r="H110" i="1"/>
  <c r="H106" i="1"/>
  <c r="G104" i="1"/>
  <c r="E104" i="1"/>
  <c r="H103" i="1"/>
  <c r="H102" i="1"/>
  <c r="G89" i="1"/>
  <c r="E89" i="1"/>
  <c r="G84" i="1"/>
  <c r="G83" i="1" s="1"/>
  <c r="F84" i="1"/>
  <c r="F83" i="1" s="1"/>
  <c r="E84" i="1"/>
  <c r="E83" i="1" s="1"/>
  <c r="H80" i="1"/>
  <c r="G78" i="1"/>
  <c r="G77" i="1" s="1"/>
  <c r="F78" i="1"/>
  <c r="F77" i="1" s="1"/>
  <c r="E78" i="1"/>
  <c r="E77" i="1" s="1"/>
  <c r="H76" i="1"/>
  <c r="H74" i="1"/>
  <c r="H73" i="1"/>
  <c r="H67" i="1"/>
  <c r="G66" i="1"/>
  <c r="F66" i="1"/>
  <c r="E66" i="1"/>
  <c r="H65" i="1"/>
  <c r="H64" i="1"/>
  <c r="H63" i="1"/>
  <c r="G56" i="1"/>
  <c r="F56" i="1"/>
  <c r="H53" i="1"/>
  <c r="H50" i="1"/>
  <c r="G48" i="1"/>
  <c r="E48" i="1"/>
  <c r="H44" i="1"/>
  <c r="G42" i="1"/>
  <c r="G41" i="1" s="1"/>
  <c r="G40" i="1" s="1"/>
  <c r="F42" i="1"/>
  <c r="F41" i="1" s="1"/>
  <c r="F40" i="1" s="1"/>
  <c r="E42" i="1"/>
  <c r="E41" i="1" s="1"/>
  <c r="E40" i="1" s="1"/>
  <c r="H36" i="1"/>
  <c r="H35" i="1"/>
  <c r="G33" i="1"/>
  <c r="F33" i="1"/>
  <c r="F32" i="1" s="1"/>
  <c r="E33" i="1"/>
  <c r="E32" i="1" s="1"/>
  <c r="H29" i="1"/>
  <c r="G27" i="1"/>
  <c r="F27" i="1"/>
  <c r="F26" i="1" s="1"/>
  <c r="E27" i="1"/>
  <c r="E26" i="1" s="1"/>
  <c r="H22" i="1"/>
  <c r="G20" i="1"/>
  <c r="E20" i="1"/>
  <c r="H18" i="1"/>
  <c r="H17" i="1"/>
  <c r="F15" i="1"/>
  <c r="E15" i="1"/>
  <c r="H9" i="1"/>
  <c r="E7" i="1"/>
  <c r="E405" i="1" l="1"/>
  <c r="E657" i="1"/>
  <c r="G657" i="1"/>
  <c r="G660" i="1"/>
  <c r="G649" i="1"/>
  <c r="G648" i="1" s="1"/>
  <c r="E140" i="1"/>
  <c r="F140" i="1"/>
  <c r="F660" i="1"/>
  <c r="E660" i="1"/>
  <c r="E537" i="1"/>
  <c r="F537" i="1"/>
  <c r="E649" i="1"/>
  <c r="E648" i="1" s="1"/>
  <c r="F649" i="1"/>
  <c r="F648" i="1" s="1"/>
  <c r="G7" i="1"/>
  <c r="F477" i="1"/>
  <c r="E488" i="1"/>
  <c r="E504" i="1"/>
  <c r="E68" i="1"/>
  <c r="G406" i="1"/>
  <c r="G324" i="1"/>
  <c r="G488" i="1"/>
  <c r="F608" i="1"/>
  <c r="F68" i="1"/>
  <c r="F436" i="1"/>
  <c r="H436" i="1" s="1"/>
  <c r="G68" i="1"/>
  <c r="G477" i="1"/>
  <c r="E55" i="1"/>
  <c r="F55" i="1"/>
  <c r="E629" i="1"/>
  <c r="F406" i="1"/>
  <c r="E477" i="1"/>
  <c r="G504" i="1"/>
  <c r="F488" i="1"/>
  <c r="H474" i="1"/>
  <c r="H389" i="1"/>
  <c r="H295" i="1"/>
  <c r="H291" i="1"/>
  <c r="H388" i="1"/>
  <c r="E596" i="1"/>
  <c r="E228" i="1"/>
  <c r="E181" i="1" s="1"/>
  <c r="G314" i="1"/>
  <c r="H48" i="1"/>
  <c r="F47" i="1"/>
  <c r="F46" i="1" s="1"/>
  <c r="G125" i="1"/>
  <c r="F392" i="1"/>
  <c r="F346" i="1" s="1"/>
  <c r="F462" i="1"/>
  <c r="F440" i="1" s="1"/>
  <c r="H636" i="1"/>
  <c r="F157" i="1"/>
  <c r="F156" i="1" s="1"/>
  <c r="H393" i="1"/>
  <c r="H311" i="1"/>
  <c r="H83" i="1"/>
  <c r="E170" i="1"/>
  <c r="H329" i="1"/>
  <c r="F504" i="1"/>
  <c r="H609" i="1"/>
  <c r="F614" i="1"/>
  <c r="E47" i="1"/>
  <c r="E46" i="1" s="1"/>
  <c r="E273" i="1"/>
  <c r="H27" i="1"/>
  <c r="H378" i="1"/>
  <c r="F170" i="1"/>
  <c r="H213" i="1"/>
  <c r="H229" i="1"/>
  <c r="E392" i="1"/>
  <c r="E332" i="1" s="1"/>
  <c r="H418" i="1"/>
  <c r="E462" i="1"/>
  <c r="E440" i="1" s="1"/>
  <c r="H557" i="1"/>
  <c r="H592" i="1"/>
  <c r="F596" i="1"/>
  <c r="G635" i="1"/>
  <c r="H192" i="1"/>
  <c r="F191" i="1"/>
  <c r="G212" i="1"/>
  <c r="H212" i="1" s="1"/>
  <c r="F228" i="1"/>
  <c r="H416" i="1"/>
  <c r="H533" i="1"/>
  <c r="F629" i="1"/>
  <c r="E126" i="1"/>
  <c r="E125" i="1" s="1"/>
  <c r="E314" i="1"/>
  <c r="H624" i="1"/>
  <c r="H630" i="1"/>
  <c r="E6" i="1"/>
  <c r="F273" i="1"/>
  <c r="H146" i="1"/>
  <c r="G145" i="1"/>
  <c r="G140" i="1" s="1"/>
  <c r="H182" i="1"/>
  <c r="H431" i="1"/>
  <c r="G430" i="1"/>
  <c r="H442" i="1"/>
  <c r="G441" i="1"/>
  <c r="H121" i="1"/>
  <c r="H149" i="1"/>
  <c r="H16" i="1"/>
  <c r="E88" i="1"/>
  <c r="H288" i="1"/>
  <c r="G287" i="1"/>
  <c r="F314" i="1"/>
  <c r="H556" i="1"/>
  <c r="H33" i="1"/>
  <c r="H66" i="1"/>
  <c r="F125" i="1"/>
  <c r="H137" i="1"/>
  <c r="H224" i="1"/>
  <c r="G228" i="1"/>
  <c r="H275" i="1"/>
  <c r="H282" i="1"/>
  <c r="G281" i="1"/>
  <c r="H281" i="1" s="1"/>
  <c r="H297" i="1"/>
  <c r="H307" i="1"/>
  <c r="G306" i="1"/>
  <c r="H306" i="1" s="1"/>
  <c r="H319" i="1"/>
  <c r="G392" i="1"/>
  <c r="H489" i="1"/>
  <c r="E522" i="1"/>
  <c r="H566" i="1"/>
  <c r="H571" i="1"/>
  <c r="G629" i="1"/>
  <c r="G157" i="1"/>
  <c r="H310" i="1"/>
  <c r="H315" i="1"/>
  <c r="H463" i="1"/>
  <c r="H505" i="1"/>
  <c r="H550" i="1"/>
  <c r="G549" i="1"/>
  <c r="H549" i="1" s="1"/>
  <c r="H591" i="1"/>
  <c r="H623" i="1"/>
  <c r="H84" i="1"/>
  <c r="H122" i="1"/>
  <c r="H150" i="1"/>
  <c r="G176" i="1"/>
  <c r="H183" i="1"/>
  <c r="G191" i="1"/>
  <c r="H225" i="1"/>
  <c r="G274" i="1"/>
  <c r="H302" i="1"/>
  <c r="G301" i="1"/>
  <c r="H301" i="1" s="1"/>
  <c r="G377" i="1"/>
  <c r="H377" i="1" s="1"/>
  <c r="H437" i="1"/>
  <c r="H448" i="1"/>
  <c r="G447" i="1"/>
  <c r="H447" i="1" s="1"/>
  <c r="H534" i="1"/>
  <c r="G565" i="1"/>
  <c r="H565" i="1" s="1"/>
  <c r="E614" i="1"/>
  <c r="H483" i="1"/>
  <c r="H530" i="1"/>
  <c r="H539" i="1"/>
  <c r="F20" i="1"/>
  <c r="H20" i="1" s="1"/>
  <c r="H34" i="1"/>
  <c r="H42" i="1"/>
  <c r="H115" i="1"/>
  <c r="H127" i="1"/>
  <c r="H298" i="1"/>
  <c r="H325" i="1"/>
  <c r="H403" i="1"/>
  <c r="H409" i="1"/>
  <c r="G462" i="1"/>
  <c r="F522" i="1"/>
  <c r="G529" i="1"/>
  <c r="H529" i="1" s="1"/>
  <c r="G538" i="1"/>
  <c r="H572" i="1"/>
  <c r="G614" i="1"/>
  <c r="H360" i="1"/>
  <c r="G359" i="1"/>
  <c r="H359" i="1" s="1"/>
  <c r="H353" i="1"/>
  <c r="G352" i="1"/>
  <c r="G114" i="1"/>
  <c r="H114" i="1" s="1"/>
  <c r="G88" i="1"/>
  <c r="H78" i="1"/>
  <c r="H72" i="1"/>
  <c r="H56" i="1"/>
  <c r="G32" i="1"/>
  <c r="H32" i="1" s="1"/>
  <c r="H21" i="1"/>
  <c r="H41" i="1"/>
  <c r="H40" i="1"/>
  <c r="G47" i="1"/>
  <c r="H8" i="1"/>
  <c r="F7" i="1"/>
  <c r="G15" i="1"/>
  <c r="H15" i="1" s="1"/>
  <c r="G26" i="1"/>
  <c r="H26" i="1" s="1"/>
  <c r="G55" i="1"/>
  <c r="H77" i="1"/>
  <c r="F89" i="1"/>
  <c r="H89" i="1" s="1"/>
  <c r="H252" i="1"/>
  <c r="G482" i="1"/>
  <c r="H157" i="1" l="1"/>
  <c r="G181" i="1"/>
  <c r="G405" i="1"/>
  <c r="F181" i="1"/>
  <c r="F657" i="1"/>
  <c r="F405" i="1"/>
  <c r="G663" i="1"/>
  <c r="E286" i="1"/>
  <c r="E346" i="1"/>
  <c r="G346" i="1"/>
  <c r="H538" i="1"/>
  <c r="G537" i="1"/>
  <c r="H537" i="1" s="1"/>
  <c r="H441" i="1"/>
  <c r="G440" i="1"/>
  <c r="H440" i="1" s="1"/>
  <c r="H145" i="1"/>
  <c r="H140" i="1"/>
  <c r="F332" i="1"/>
  <c r="F286" i="1" s="1"/>
  <c r="H352" i="1"/>
  <c r="E476" i="1"/>
  <c r="H430" i="1"/>
  <c r="H608" i="1"/>
  <c r="H68" i="1"/>
  <c r="H324" i="1"/>
  <c r="H488" i="1"/>
  <c r="E54" i="1"/>
  <c r="H406" i="1"/>
  <c r="F6" i="1"/>
  <c r="G476" i="1"/>
  <c r="H504" i="1"/>
  <c r="H126" i="1"/>
  <c r="H125" i="1"/>
  <c r="E581" i="1"/>
  <c r="H191" i="1"/>
  <c r="H120" i="1"/>
  <c r="H287" i="1"/>
  <c r="F476" i="1"/>
  <c r="H462" i="1"/>
  <c r="H392" i="1"/>
  <c r="H314" i="1"/>
  <c r="G170" i="1"/>
  <c r="G581" i="1"/>
  <c r="F581" i="1"/>
  <c r="H228" i="1"/>
  <c r="H635" i="1"/>
  <c r="G634" i="1"/>
  <c r="H634" i="1" s="1"/>
  <c r="H629" i="1"/>
  <c r="H274" i="1"/>
  <c r="G273" i="1"/>
  <c r="H273" i="1" s="1"/>
  <c r="G156" i="1"/>
  <c r="H156" i="1" s="1"/>
  <c r="G522" i="1"/>
  <c r="H522" i="1" s="1"/>
  <c r="H660" i="1"/>
  <c r="H482" i="1"/>
  <c r="F88" i="1"/>
  <c r="H104" i="1"/>
  <c r="G6" i="1"/>
  <c r="G46" i="1"/>
  <c r="H46" i="1" s="1"/>
  <c r="H47" i="1"/>
  <c r="H7" i="1"/>
  <c r="G54" i="1"/>
  <c r="H55" i="1"/>
  <c r="E655" i="1" l="1"/>
  <c r="H346" i="1"/>
  <c r="H405" i="1"/>
  <c r="H476" i="1"/>
  <c r="H581" i="1"/>
  <c r="H181" i="1"/>
  <c r="F663" i="1"/>
  <c r="H657" i="1"/>
  <c r="F54" i="1"/>
  <c r="F655" i="1" s="1"/>
  <c r="H88" i="1"/>
  <c r="H6" i="1"/>
  <c r="G332" i="1" l="1"/>
  <c r="G286" i="1" s="1"/>
  <c r="G655" i="1" s="1"/>
  <c r="H54" i="1"/>
  <c r="H332" i="1" l="1"/>
  <c r="H286" i="1" l="1"/>
  <c r="H655" i="1"/>
</calcChain>
</file>

<file path=xl/sharedStrings.xml><?xml version="1.0" encoding="utf-8"?>
<sst xmlns="http://schemas.openxmlformats.org/spreadsheetml/2006/main" count="4780" uniqueCount="1130">
  <si>
    <t>w złotych</t>
  </si>
  <si>
    <t>Dział</t>
  </si>
  <si>
    <t>Rozdz.</t>
  </si>
  <si>
    <t>Źródło pochodzenia</t>
  </si>
  <si>
    <t>Paragraf</t>
  </si>
  <si>
    <t>Plan wg uchwały budżetowej</t>
  </si>
  <si>
    <t>Plan po zmianach</t>
  </si>
  <si>
    <t>Wykonanie</t>
  </si>
  <si>
    <t>% wykonania (7:6)</t>
  </si>
  <si>
    <t>1.</t>
  </si>
  <si>
    <t>2.</t>
  </si>
  <si>
    <t>3.</t>
  </si>
  <si>
    <t>4.</t>
  </si>
  <si>
    <t>5.</t>
  </si>
  <si>
    <t>6.</t>
  </si>
  <si>
    <t>7.</t>
  </si>
  <si>
    <t>8.</t>
  </si>
  <si>
    <t>010</t>
  </si>
  <si>
    <t>ROLNICTWO I ŁOWIECTWO</t>
  </si>
  <si>
    <t>01004</t>
  </si>
  <si>
    <t xml:space="preserve">Biura geodezji i terenów rolnych </t>
  </si>
  <si>
    <t>a) dochody bieżące, w tym:</t>
  </si>
  <si>
    <t xml:space="preserve">Dochody realizowane przez Podkarpackie Biuro Geodezji i Terenów Rolnych w Rzeszowie </t>
  </si>
  <si>
    <t>0750</t>
  </si>
  <si>
    <t>0830</t>
  </si>
  <si>
    <t>0970</t>
  </si>
  <si>
    <t>b) dochody majątkowe</t>
  </si>
  <si>
    <t xml:space="preserve">Dochody realizowane przez Podkarpackie Biuro Geodezji 
i Terenów Rolnych w Rzeszowie </t>
  </si>
  <si>
    <t>0870</t>
  </si>
  <si>
    <t>01041</t>
  </si>
  <si>
    <t>Program Rozwoju Obszarów Wiejskich</t>
  </si>
  <si>
    <t>Dochody realizowane przez Urząd Marszałkowski Województwa Podkarpackiego</t>
  </si>
  <si>
    <t>0950</t>
  </si>
  <si>
    <t>Dotacja celowa z budżetu państwa na finansowanie wydatków objętych Pomocą Techniczną Programu Rozwoju Obszarów Wiejskich na lata 2014 - 2020</t>
  </si>
  <si>
    <t>Dotacja celowa z budżetu państwa na współfinansowanie wydatków objętych Pomocą Techniczną Programu Rozwoju Obszarów Wiejskich na lata 2014 - 2020</t>
  </si>
  <si>
    <t>01042</t>
  </si>
  <si>
    <t>Wyłączenie z produkcji gruntów rolnych</t>
  </si>
  <si>
    <t>Wpływy z tytułu opłat za wyłączenie z produkcji gruntów rolnych</t>
  </si>
  <si>
    <t>0690</t>
  </si>
  <si>
    <t>Odsetki z tytułu nieterminowej wpłaty opłat za wyłączenie z produkcji gruntów rolnych</t>
  </si>
  <si>
    <t>0910</t>
  </si>
  <si>
    <t>0920</t>
  </si>
  <si>
    <t>2910</t>
  </si>
  <si>
    <t>01095</t>
  </si>
  <si>
    <t>Pozostała działalność</t>
  </si>
  <si>
    <t>0940</t>
  </si>
  <si>
    <t xml:space="preserve">Dotacje celowe otrzymane z budżetu państwa na zadania bieżące z zakresu administracji rządowej oraz inne zadania zlecone ustawami realizowane przez samorząd województwa </t>
  </si>
  <si>
    <t>Dotacja otrzymana z Wojewódzkiego Funduszu Ochrony Środowiska i Gospodarki Wodnej w Rzeszowie</t>
  </si>
  <si>
    <t>Zwrot części niewykorzystanej dotacji na realizację zadania w ramach Programu "Podkarpacki Naturalny Wypas III"</t>
  </si>
  <si>
    <t>050</t>
  </si>
  <si>
    <t xml:space="preserve">RYBOŁÓWSTWO I RYBACTWO </t>
  </si>
  <si>
    <t>05011</t>
  </si>
  <si>
    <t>Program Operacyjny Zrównoważony rozwój sektora rybołówstwa i nadbrzeżnych obszarów rybackich 2007 - 2013 oraz Program Operacyjny Rybactwo i Morze 2014 - 2020</t>
  </si>
  <si>
    <t>Dotacja celowa z budżetu państwa na finansowanie wydatków objętych Pomocą Techniczną Programu Operacyjnego Rybactwo i Morze 2014 - 2020</t>
  </si>
  <si>
    <t>Dotacja celowa z budżetu państwa na współfinansowanie wydatków objętych Pomocą Techniczną Programu Operacyjnego Rybactwo i Morze 2014 - 2020</t>
  </si>
  <si>
    <t>100</t>
  </si>
  <si>
    <t>GÓRNICTWO I KOPALNICTWO</t>
  </si>
  <si>
    <t>10095</t>
  </si>
  <si>
    <t>Odsetki od nieterminowej wpłaty należności za użytkowanie górnicze z tytułu wydobywania wód leczniczych, wód termalnych i solanek z terenu województwa podkarpackiego</t>
  </si>
  <si>
    <t>5% dochodów uzyskiwanych na rzecz budżetu państwa w związku z realizacją zadań z zakresu administracji rządowej oraz innych zadań zleconych ustawami</t>
  </si>
  <si>
    <t xml:space="preserve">b) dochody majątkowe </t>
  </si>
  <si>
    <t>150</t>
  </si>
  <si>
    <t>PRZETWÓRSTWO PRZEMYSŁOWE</t>
  </si>
  <si>
    <t>15011</t>
  </si>
  <si>
    <t>Rozwój przedsiębiorczości</t>
  </si>
  <si>
    <t>Zwrot części dotacji wykorzystanych niezgodnie z przeznaczeniem, pobranych nienależnie lub w nadmiernej wysokości przez beneficjentów projektów realizowanych w ramach Programu Operacyjnego Kapitał Ludzki</t>
  </si>
  <si>
    <t xml:space="preserve">Zwrot części niewykorzystanych dotacji przez beneficjentów projektów realizowanych w ramach Regionalnego Programu Operacyjnego Województwa Podkarpackiego na lata 2014-2020 </t>
  </si>
  <si>
    <t>b) dochody majątkowe, w tym: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</si>
  <si>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2014-2020 </t>
  </si>
  <si>
    <t>0900</t>
  </si>
  <si>
    <t>TRANSPORT I ŁĄCZNOŚĆ</t>
  </si>
  <si>
    <t>Krajowe pasażerskie przewozy kolejowe</t>
  </si>
  <si>
    <t>Dzierżawa autobusów szynowych</t>
  </si>
  <si>
    <t xml:space="preserve">Środki otrzymane z państwowych funduszy celowych na realizację zadań bieżących jednostek sektora finansów publicznych </t>
  </si>
  <si>
    <t>2170</t>
  </si>
  <si>
    <t>Dotacje celowe otrzymane od samorządu województwa na zadania bieżące realizowane na podstawie porozumień (umów) między jednostkami samorządu terytorialnego</t>
  </si>
  <si>
    <t>2330</t>
  </si>
  <si>
    <t>Dotacja celowa otrzymana z tytułu pomocy finansowej udzielanej między jednostkami samorządu terytorialnego na dofinansowanie własnych zadań bieżących</t>
  </si>
  <si>
    <t>2710</t>
  </si>
  <si>
    <t>2950</t>
  </si>
  <si>
    <t xml:space="preserve">Środki otrzymane z państwowych funduszy celowych na finansowanie lub dofinansowanie kosztów realizacji inwestycji i zakupów inwestycyjnych jednostek sektora finansów publicznych </t>
  </si>
  <si>
    <t>Infrastruktura kolejowa</t>
  </si>
  <si>
    <t>a) dochody bieżące</t>
  </si>
  <si>
    <t>Środki pochodzące z budżetu Unii Europejskiej na realizację zadania pn. "Budowa Podmiejskiej Kolei Aglomeracyjnej - PKA: Budowa i modernizacja linii kolejowych oraz infrastruktury przystankowej" w ramach Programu Operacyjnego Infrastruktura i Środowisko na lata 2014 - 2020</t>
  </si>
  <si>
    <t>Środki pochodzące z budżetu Unii Europejskiej na realizację projektu pn. "Budowa Podmiejskiej Kolei Aglomeracyjnej - PKA": budowa zaplecza technicznego" w ramach Programu Operacyjnego Infrastruktura i Środowisko na lata 2014 - 2020</t>
  </si>
  <si>
    <t>Dotacja celowa otrzymana z tytułu pomocy finansowej udzielanej między jednostkami samorządu terytorialnego na dofinansowanie własnych zadań inwestycyjnych i zakupów inwestycyjnych</t>
  </si>
  <si>
    <t>Krajowe pasażerskie przewozy autobusowe</t>
  </si>
  <si>
    <t>0630</t>
  </si>
  <si>
    <t>Lokalny transport zbiorowy</t>
  </si>
  <si>
    <t xml:space="preserve">Opłaty za wydawanie zezwoleń na regularny przewóz osób </t>
  </si>
  <si>
    <t>0620</t>
  </si>
  <si>
    <t>2360</t>
  </si>
  <si>
    <t>Drogi publiczne wojewódzkie</t>
  </si>
  <si>
    <t>Dochody realizowane przez Podkarpacki Zarząd Dróg Wojewódzkich w Rzeszowie</t>
  </si>
  <si>
    <t>0570</t>
  </si>
  <si>
    <t>0580</t>
  </si>
  <si>
    <t>0640</t>
  </si>
  <si>
    <t xml:space="preserve">Środki pozyskane z nadleśnictw na dofinansowanie własnych zadań bieżących Samorządu Województwa </t>
  </si>
  <si>
    <t>Wpływ z tytułu pomocy finansowej udzielanej między jednostkami samorządu terytorialnego na dofinansowanie własnych zadań bieżących</t>
  </si>
  <si>
    <t>6208</t>
  </si>
  <si>
    <t>Środki pochodzące z budżetu Unii Europejskiej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</si>
  <si>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6257</t>
  </si>
  <si>
    <t>Środki pochodzące z budżetu Unii Europejskiej jako refundacja wydatków poniesionych ze środków własnych na realizację projektu własnego pn. "Rozbudowa drogi wojewódzkiej Nr 867 na odcinku Lubaczów do Basznia Górna" w ramach Programu Współpracy Transgranicznej Polska - Białoruś - Ukraina 2014 - 2020</t>
  </si>
  <si>
    <t>Środki pochodzące z budżetu Unii Europejskiej jako refundacja wydatków poniesionych ze środków własnych na realizację projektu  własnego pn. "Modernizacja drogi wojewódzkiej Nr 993 Gorlice - Nowy Żmigród - Dukla na odcinku Pielgrzymka - Nowy Żmigród" w ramach  Programu Współpracy Transgranicznej Interreg V-A Polska - Słowacja na lata 2014 - 2020</t>
  </si>
  <si>
    <t>Środki z państwowych funduszy celowych na finansowanie lub dofinansowanie kosztów realizacji inwestycji i zakupów inwestycyjnych jednostek sektora finansów publicznych</t>
  </si>
  <si>
    <t>TURYSTYKA</t>
  </si>
  <si>
    <t>GOSPODARKA MIESZKANIOWA</t>
  </si>
  <si>
    <t>Gospodarka gruntami i nieruchomościami</t>
  </si>
  <si>
    <t>Opłaty za trwały zarząd, użytkowanie i służebność</t>
  </si>
  <si>
    <t>0470</t>
  </si>
  <si>
    <t>Wpływy z opłat z tytułu użytkowania wieczystego nieruchomości</t>
  </si>
  <si>
    <t>0550</t>
  </si>
  <si>
    <t xml:space="preserve">Dochody z najmu i dzierżawy składników majątkowych </t>
  </si>
  <si>
    <t>Wpływy z usług (media)</t>
  </si>
  <si>
    <t>Dochody ze sprzedaży mienia będącego w zasobie Województwa</t>
  </si>
  <si>
    <t>0770</t>
  </si>
  <si>
    <t>0800</t>
  </si>
  <si>
    <t>DZIAŁALNOŚĆ USŁUGOWA</t>
  </si>
  <si>
    <t>Prace geologiczne (nieinwestycyjne)</t>
  </si>
  <si>
    <t>Zadania z zakresu geodezji i kartografii</t>
  </si>
  <si>
    <t xml:space="preserve">Dochody realizowane przez Wojewódzki Ośrodek Dokumentacji Geodezyjnej i Kartograficznej w Rzeszowie </t>
  </si>
  <si>
    <t>2210</t>
  </si>
  <si>
    <t>INFORMATYKA</t>
  </si>
  <si>
    <t>Wpływy z tytułu dzierżawy części infrastruktury telekomunikacyjnej wchodzącej w skład Regionalnej Sieci Szerokopasmowej Województwa Podkarpackiego</t>
  </si>
  <si>
    <t xml:space="preserve">Wpływy z tytułu refundacji opłat za dysponowanie nieruchomościami w związku z utrzymaniem infrastruktury wytworzonej w ramach projektu pn.: "Sieć Szerokopasmowa Polski Wschodniej - Województwo Podkarpackie" </t>
  </si>
  <si>
    <t xml:space="preserve">SZKOLNICTWO WYŻSZE I NAUKA </t>
  </si>
  <si>
    <t>Pomoc materialna dla studentów i doktorantów</t>
  </si>
  <si>
    <t>0947</t>
  </si>
  <si>
    <t>0949</t>
  </si>
  <si>
    <t>Środki pochodzące z budżetu Unii Europejskiej jako refundacja wydatków poniesionych ze środków własnych na realizację projektu pn. "Zachowanie i promocja dziedzictwa przyrodniczego i kulturowego poprzez Zielone Szlaki" w ramach Programu INTERREG EUROPA 2014-2020</t>
  </si>
  <si>
    <t>2058</t>
  </si>
  <si>
    <t>Zwrot części niewykorzystanej dotacji na organizację wydarzeń popularyzujących naukę</t>
  </si>
  <si>
    <t>ADMINISTRACJA PUBLICZNA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</si>
  <si>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</si>
  <si>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</si>
  <si>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</si>
  <si>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Komisje egzaminacyjne</t>
  </si>
  <si>
    <t>Promocja jednostek samorządu terytorialnego</t>
  </si>
  <si>
    <t>2059</t>
  </si>
  <si>
    <t>Zwrot części niewykorzystanej dotacji na dofinansowanie zadań związanych z funkcjonowaniem Domu Polski Wschodniej w Brukseli</t>
  </si>
  <si>
    <t>Dotacje celowe otrzymane z budżetu państwa na zadania bieżące realizowane przez samorząd województwa na podstawie porozumień z organami administracji rządowej</t>
  </si>
  <si>
    <t>Funkcjonowanie wojewódzkich rad dialogu społecznego</t>
  </si>
  <si>
    <t>Środki pochodzące z budżetu Unii Europejskiej na realizację projektu pn. „Zintegrowany i uspołeczniony model planowania przestrzennego poprzez opracowanie Strategii Przestrzennej Rzeszowskiego Obszaru Funkcjonalnego” w ramach Programu Operacyjnego Wiedza Edukacja Rozwój na lata 2014 - 2020</t>
  </si>
  <si>
    <t>2007</t>
  </si>
  <si>
    <t>Środki pochodzące z budżetu Unii Europejskiej na realizację projektu pn. "Wysokie standardy obsługi inwestora w samorządach województwa podkarpackiego" w ramach Programu Operacyjnego Wiedza Edukacja Rozwój na lata 2014 - 2020</t>
  </si>
  <si>
    <t>Środki pochodzące z budżetu Unii Europejskiej na realizację projektu pn. „Punkty Informacyjne Funduszy Europejskich” w ramach Programu Operacyjnego Pomoc Techniczna na lata 2014-2020</t>
  </si>
  <si>
    <t>Środki pochodzące z budżetu Unii Europejskiej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</si>
  <si>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„Punkty Informacyjne Funduszy Europejskich” w ramach Programu Operacyjnego Pomoc Techniczna na lata 2014-2020</t>
  </si>
  <si>
    <t>Dotacja celowa z budżetu państwa na realizację projektu pn.: „Zintegrowany i uspołeczniony model planowania przestrzennego poprzez opracowanie Strategii Przestrzennej Rzeszowskiego Obszaru Funkcjonalnego” w ramach Programu Operacyjnego Wiedza Edukacja Rozwój na lata 2014 - 2020</t>
  </si>
  <si>
    <t>Dotacja celowa z budżetu państwa na realizację projektu pn. "Wysokie standardy obsługi inwestora w samorządach województwa podkarpackiego" w ramach Programu Operacyjnego Wiedza Edukacja Rozwój na lata 2014 - 2020</t>
  </si>
  <si>
    <t>Dotacja celowa z budżetu państwa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</si>
  <si>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Środki pochodzące z budżetu Unii Europejskiej na realizację projektu pn.: "Funkcjonowanie Oddziału Programu Współpracy Transgranicznej EIS Polska - Białoruś - Ukraina 2014-2020 w Rzeszowie w latach 2022-2023" w ramach Programu Współpracy Transgranicznej Polska - Białoruś - Ukraina 2014-2020</t>
  </si>
  <si>
    <t xml:space="preserve">Środki pochodzące z budżetu Unii Europejskiej jako refundacja wydatków poniesionych ze środków własnych na realizację projektu pn. „Wspólnie wzbogacamy polsko-słowackie pogranicze” w ramach Programu Współpracy Transgranicznej INTERREG V-A Polska – Słowacja 2014-2020 </t>
  </si>
  <si>
    <t>Dotacja celowa z budżetu państwa na realizację projektu pn. „Zintegrowany i uspołeczniony model planowania przestrzennego poprzez opracowanie Strategii Przestrzennej Rzeszowskiego Obszaru Funkcjonalnego” w ramach Programu Operacyjnego Wiedza, Edukacja, Rozwój na lata 2014 - 2020</t>
  </si>
  <si>
    <t xml:space="preserve">Dotacja celowa z budżetu państwa jako refundacja wydatków poniesionych ze środków własnych na realizację projektu pn. „Wspólnie wzbogacamy polsko-słowackie pogranicze” w ramach Programu Współpracy Transgranicznej INTERREG V-A Polska – Słowacja 2014-2020 </t>
  </si>
  <si>
    <t>`</t>
  </si>
  <si>
    <t>Środki pochodzące z budżetu Unii Europejskiej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</si>
  <si>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na realizację projektu pn. „Zintegrowany i uspołeczniony model planowania przestrzennego poprzez opracowanie Strategii Przestrzennej Rzeszowskiego Obszaru Funkcjonalnego” w ramach Programu Operacyjnego Wiedza Edukacja Rozwój na lata 2014 - 2020</t>
  </si>
  <si>
    <t>BEZPIECZEŃSTWO PUBLICZNE I OCHRONA PRZECIPOŻAROWA</t>
  </si>
  <si>
    <t>Zarządzanie kryzysowe</t>
  </si>
  <si>
    <t>Wpływy z innych opłat stanowiących dochody jednostek samorządu terytorialnego na podstawie ustaw</t>
  </si>
  <si>
    <t>Opłaty eksploatacyjne za wydobywanie węglowodorów ze złóż zlokalizowanych na terenie województwa podkarpackiego</t>
  </si>
  <si>
    <t>0460</t>
  </si>
  <si>
    <t>Opłaty za wydanie zezwoleń na obrót hurtowy napojami alkoholowymi</t>
  </si>
  <si>
    <t>0480</t>
  </si>
  <si>
    <t>Opłaty koncesyjne za poszukiwanie lub rozpoznawanie złóż węglowodorów oraz za wydobywanie węglowodorów ze złóż na terenie województwa podkarpackiego</t>
  </si>
  <si>
    <t>0590</t>
  </si>
  <si>
    <t>Dochody realizowane przez Wojewódzki Urząd Pracy w Rzeszowie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</si>
  <si>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</si>
  <si>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</si>
  <si>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</si>
  <si>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</si>
  <si>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</si>
  <si>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</si>
  <si>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</si>
  <si>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</si>
  <si>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</si>
  <si>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z rezerwy subwencji ogólnej z przeznaczeniem na dofinansowanie budowy, przebudowy, remontu, utrzymania, ochrony dróg wojewódzkich i zarządzania tymi drogami</t>
  </si>
  <si>
    <t>Część wyrównawcza subwencji ogólnej dla województw</t>
  </si>
  <si>
    <t>Różne rozliczenia finansowe</t>
  </si>
  <si>
    <t xml:space="preserve">Odsetki od lokat wolnych środków budżetowych oraz od środków na rachunkach bankowych </t>
  </si>
  <si>
    <t>Rezerwa subwencji ogólnej dla województw</t>
  </si>
  <si>
    <t>2770</t>
  </si>
  <si>
    <t>Część regionalna subwencji ogólnej dla województw</t>
  </si>
  <si>
    <t>2920</t>
  </si>
  <si>
    <t>Regionalne Programy Operacyjne 2014 - 2020 finansowane 
z udziałem środków Europejskiego Funduszu Rozwoju Regionalnego</t>
  </si>
  <si>
    <t>Środki pochodzące z budżetu Unii Europejskiej na realizację projektów własnych w ramach Regionalnego Programu Operacyjnego Województwa Podkarpackiego na lata 2014 - 2020</t>
  </si>
  <si>
    <t>Środki pochodzące z budżetu Unii Europejskiej jako refundacja wydatków poniesionych ze środków własnych na realizację projektów własnych w ramach Regionalnego Programu Operacyjnego Województwa Podkarpackiego na lata 2014 - 2020</t>
  </si>
  <si>
    <t>Dotacja celowa z budżetu państwa na współfinansowanie projektów własnych i realizowanych przez beneficjentów w ramach Regionalnego Programu Operacyjnego Województwa Podkarpackiego na lata 2014 - 2020</t>
  </si>
  <si>
    <t>Dotacja celowa z budżetu państwa na finansowanie wydatków objętych Pomocą Techniczną Regionalnego Programu Operacyjnego Województwa Podkarpackiego na lata 2014 - 2020</t>
  </si>
  <si>
    <t>Dotacja celowa z budżetu państwa na współfinansowanie projektów własnych realizowanych w ramach Regionalnego Programu Operacyjnego Województwa Podkarpackiego na lata 2014 - 2020</t>
  </si>
  <si>
    <t>Regionalne Programy Operacyjne 2014 - 2020 finansowane z udziałem środków Europejskiego Funduszu Społecznego</t>
  </si>
  <si>
    <t>Dotacja celowa z budżetu państwa na współfinansowanie projektów własnych i realizowanych przez beneficjentów 
w ramach Regionalnego Programu Operacyjnego Województwa Podkarpackiego na lata 2014 - 2020</t>
  </si>
  <si>
    <t xml:space="preserve">Dotacja celowa z budżetu państwa na finansowanie wydatków objętych Pomocą Techniczną Regionalnego Programu Operacyjnego Województwa Podkarpackiego na lata 2014 – 2020 </t>
  </si>
  <si>
    <t>OŚWIATA I WYCHOWANIE</t>
  </si>
  <si>
    <t>Szkoły podstawowe specjalne</t>
  </si>
  <si>
    <t>Dochody realizowane przez jednostki oświatowe</t>
  </si>
  <si>
    <t>Wpływy do budżetu niewykorzystanych środków finansowych gromadzonych na wyodrębnionym rachunku jednostki budżetowej</t>
  </si>
  <si>
    <t>2400</t>
  </si>
  <si>
    <t>Szkoły zawodowe</t>
  </si>
  <si>
    <t>2057</t>
  </si>
  <si>
    <t>Dokształcanie i doskonalenie nauczycieli</t>
  </si>
  <si>
    <t>Środki pochodzące z budżetu Unii Europejskiej na realizację projektu pn. "Lekcja:Enter - Podkarpacie Uczy Cyfrowo (II)" w ramach Programu Operacyjnego Polska Cyfrowa na lata 2014-2020</t>
  </si>
  <si>
    <t>Dotacja celowa z budżetu państwa na realizację projektu pn. "Lekcja:Enter - Podkarpacie Uczy Cyfrowo (II)" w ramach Programu Operacyjnego Polska Cyfrowa na lata 2014-2020</t>
  </si>
  <si>
    <t>2220</t>
  </si>
  <si>
    <t>Biblioteki pedagogiczne</t>
  </si>
  <si>
    <t xml:space="preserve">Dochody realizowane przez jednostki oświatowe </t>
  </si>
  <si>
    <t>Zapewnienie uczniom prawa do bezpłatnego dostępu do podręczników, materiałów edukacyjnych lub materiałów ćwiczeniowych</t>
  </si>
  <si>
    <t>Środki pochodzące z budżetu Unii Europejskiej na realizację projektu pn. "Making personal learning experiences possible and visible also in a digital way - Das PerLen-Konzept" w ramach Programu Erasmus+</t>
  </si>
  <si>
    <t>2051</t>
  </si>
  <si>
    <t>2919</t>
  </si>
  <si>
    <t>2959</t>
  </si>
  <si>
    <t>6699</t>
  </si>
  <si>
    <t>OCHRONA ZDROWIA</t>
  </si>
  <si>
    <t>Szpitale ogólne</t>
  </si>
  <si>
    <t>Dotacja celowa otrzymana z budżetu państwa na realizację inwestycji i zakupów inwestycyjnych własnych samorządu województwa</t>
  </si>
  <si>
    <t>Lecznictwo psychiatryczne</t>
  </si>
  <si>
    <t>Ratownictwo medyczne</t>
  </si>
  <si>
    <t>Dotacja celowa otrzymana z budżetu państwa na inwestycje i zakupy inwestycyjne z zakresu administracji rządowej oraz inne zadania zlecone ustawami realizowane przez samorząd województwa</t>
  </si>
  <si>
    <t>Medycyna pracy</t>
  </si>
  <si>
    <t>Zwalczanie narkomanii</t>
  </si>
  <si>
    <t>Przeciwdziałnie alkoholizmowi</t>
  </si>
  <si>
    <t>Zwrot niewykorzystanej dotacji na realizację zadań z zakresu przeciwdziałania alkoholizmowi wraz z odsetkami</t>
  </si>
  <si>
    <t>Staże i specjalizacje medyczne</t>
  </si>
  <si>
    <t>POMOC SPOŁECZNA</t>
  </si>
  <si>
    <t>Zadania w zakresie przeciwdziałania przemocy w rodzinie</t>
  </si>
  <si>
    <t>Dotacje celowe otrzymane z budżetu państwa na realizację bieżących zadań własnych samorządu województwa</t>
  </si>
  <si>
    <t>Regionalne ośrodki polityki społecznej</t>
  </si>
  <si>
    <t>Dochody realizowane przez Regionalny Ośrodek Polityki Społecznej w Rzeszowie</t>
  </si>
  <si>
    <t xml:space="preserve">Zwrot dotacji wykorzystanych niezgodnie z przeznaczeniem, pobranych nienależnie lub w nadmiernej wysokości na realizację zadań z zakresu pomocy społecznej </t>
  </si>
  <si>
    <t>Środki pochodzące z budżetu Unii Europejskiej na realizację projektu pn. "Liderzy kooperacji" w ramach Programu Operacyjnego Wiedza Edukacja Rozwój na lata 2014-2020</t>
  </si>
  <si>
    <t>Dotacja celowa z budżetu państwa na realizację projektu pn. "Liderzy kooperacji" w ramach Programu Operacyjnego Wiedza Edukacja Rozwój na lata 2014-2020</t>
  </si>
  <si>
    <t>Dotacja celowa z budżetu państwa na realizację projektu pn. "Liderzy kooperacji" w ramach Programu Operacyjnego Wiedza Edukacja Rozwój 2014-2020</t>
  </si>
  <si>
    <t>Dotacja celowa z budżetu państwa jako refundacja wydatków poniesionych ze środków własnych na realizację projektu pn. "Kompetencje plus" w ramach Programu Operacyjnego Wiedza Edukacja Rozwój 2014-2020</t>
  </si>
  <si>
    <t>Dotacja celowa z budżetu państwa na realizację projektu pn. "Kompetencje plus" w ramach Programu Operacyjnego Wiedza Edukacja Rozwój 2014-2020</t>
  </si>
  <si>
    <t>Zwrot części niewykorzystanych dotacji przez beneficjentów projektów realizowanych w ramach Regionalnego Programu Operacyjnego Województwa Podkarpackiego na lata 2014-2020</t>
  </si>
  <si>
    <t>POZOSTAŁE ZADANIA W ZAKRESIE POLITYKI SPOŁECZNEJ</t>
  </si>
  <si>
    <t>Rehabilitacja zawodowa i społeczna osób niepełnosprawnych</t>
  </si>
  <si>
    <t>Państwowy Fundusz Rehabilitacji Osób Niepełnosprawnych</t>
  </si>
  <si>
    <t xml:space="preserve">Wpływ 2,5% odpisu ze środków Państwowego Funduszu Rehabilitacji Osób Niepełnosprawnych </t>
  </si>
  <si>
    <t>Wojewódzkie Urzędy Pracy</t>
  </si>
  <si>
    <t>0948</t>
  </si>
  <si>
    <t>Dotacja celowa z budżetu państwa na finansowanie wydatków objętych Pomocą Techniczną Programu Operacyjnego Wiedza Edukacja Rozwój na lata 2014 - 2020</t>
  </si>
  <si>
    <t>Środki z Funduszu Gwarantowanych Świadczeń Pracowniczych</t>
  </si>
  <si>
    <t>Zwrot części dotacji wykorzystanych niezgodnie z przeznaczeniem, pobranych nienależnie lub w nadmiernej wysokości przez beneficjentów projektów realizowanych w ramach Programu Operacyjnego Wiedza Edukacja Rozwój na lata 2014-2020</t>
  </si>
  <si>
    <t xml:space="preserve">Zwrot części niewykorzystanych dotacji przez beneficjentów projektów realizowanych w ramach Programu Operacyjnego Wiedza Edukacja Rozwój na lata 2014-2020        </t>
  </si>
  <si>
    <t>EDUKACYJNA OPIEKA WYCHOWAWCZA</t>
  </si>
  <si>
    <t>Internaty i bursy szkolne</t>
  </si>
  <si>
    <t>RODZINA</t>
  </si>
  <si>
    <t>Wspieranie rodziny</t>
  </si>
  <si>
    <t>Działalność ośrodków adopcyjnych</t>
  </si>
  <si>
    <t>Działalność placówek opiekuńczo - wychowawczych</t>
  </si>
  <si>
    <t>Dotacje celowe otrzymane z powiatu na zadania bieżące realizowane na podstawie porozumień (umów) między jednostkami samorządu terytorialnego</t>
  </si>
  <si>
    <t>2320</t>
  </si>
  <si>
    <t>GOSPODARKA KOMUNALNA I OCHRONA ŚRODOWISKA</t>
  </si>
  <si>
    <t>Ochrona powietrza atmosferycznego i klimatu</t>
  </si>
  <si>
    <t>Wpływy i wydatki związane z gromadzeniem środków 
z opłat i kar za korzystanie ze środowiska</t>
  </si>
  <si>
    <t>3% wpływu z tytułu kary pieniężnej za uszkodzenie, zniszczenie, usunięcie drzewa lub krzewu bez zezwolenia przez osoby fizyczne</t>
  </si>
  <si>
    <t>3% wpływu z tytułu opłat za usunięcie drzewa i krzewu</t>
  </si>
  <si>
    <t>3% wpływu z tytułu opłat za korzystanie ze środowiska</t>
  </si>
  <si>
    <t>Wpływy i wydatki związane z gromadzeniem środków 
z opłat produktowych</t>
  </si>
  <si>
    <t>1% wpływu z tytułu opłaty recyklingowej za opakowania</t>
  </si>
  <si>
    <t>0240</t>
  </si>
  <si>
    <t xml:space="preserve">2% i 10% wpływu z tytułu opłaty produktowej oraz dodatkowej opłaty produktowej </t>
  </si>
  <si>
    <t>0400</t>
  </si>
  <si>
    <t xml:space="preserve">5 % wpływu z tytułu opłat za nieosiągnięcie wymaganego poziomu odzysku i recyklingu odpadów pochodzących z pojazdów wycofanych z eksploatacji </t>
  </si>
  <si>
    <t>0530</t>
  </si>
  <si>
    <t>Wpływy z tytułu opłat za wydanie postanowienia o nałożeniu grzywny w celu przymuszenia wykonania obowiązku o charakterze niepieniężnym</t>
  </si>
  <si>
    <t>10% wpływu z tytułu opłat na publiczne kampanie edukacyjne</t>
  </si>
  <si>
    <t xml:space="preserve">Wpływy i wydatki związane z wprowadzeniem do obrotu baterii i akumulatorów </t>
  </si>
  <si>
    <t>5% wpływu z tytułu opłat za wprowadzanie do obrotu baterii i akumulatorów</t>
  </si>
  <si>
    <t>Pozostałe zadania związane z gospodarką odpadami</t>
  </si>
  <si>
    <t>35,65% wpływu z opłaty rejestrowej i opłaty rocznej od podmiotów wprowadzających produkty, produkty w opakowaniach i gospodarujących odpadami</t>
  </si>
  <si>
    <t>KULTURA I OCHRONA DZIEDZICTWA NARODOWEGO</t>
  </si>
  <si>
    <t>Pozostałe zadania w zakresie kultury</t>
  </si>
  <si>
    <t>Odsetki od dotacji wykorzystanych niezgodnie z przeznaczeniem, pobranych nienależnie lub w nadmiernej wysokości na realizację zadań z zakresu kultury</t>
  </si>
  <si>
    <t>Teatry</t>
  </si>
  <si>
    <t>Wpływy z tytułu pomocy finansowej udzielanej między jednostkami samorządu terytorialnego na dofinansowanie własnych zadań bieżących</t>
  </si>
  <si>
    <t>Filharmonie, orkiestry, chóry i kapele</t>
  </si>
  <si>
    <t>Zwrot dotacji wykorzystanych niezgodnie z przeznaczeniem, pobranych nienależnie lub w nadmiernej wysokości na realizację zadań przez instytucje kultury</t>
  </si>
  <si>
    <t>Domy i ośrodki kultury, świetlice i kluby</t>
  </si>
  <si>
    <t>6690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</si>
  <si>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</si>
  <si>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</si>
  <si>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</si>
  <si>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Muzea</t>
  </si>
  <si>
    <t>6660</t>
  </si>
  <si>
    <t>Ochrona zabytków i opieka nad zabytkami</t>
  </si>
  <si>
    <t>Środki pochodzące z budżetu Unii Europejskiej jako refundacja wydatków poniesionych ze środków własnych na realizację projektu pn. "CRinMA- Cultural Resources in the Mountain Area" w ramach Programu Interreg Europa na lata 2014 - 2020</t>
  </si>
  <si>
    <t>OGRODY BOTANICZNE I ZOOLOGICZNE ORAZ NATURALNE OBSZARY I OBIEKTY CHRONIONEJ PRZYRODY</t>
  </si>
  <si>
    <t>Parki krajobrazowe</t>
  </si>
  <si>
    <t>Dochody realizowane przez Zespół Karpackich Parków Krajobrazowych w Krośnie</t>
  </si>
  <si>
    <t>KULTURA FIZYCZNA</t>
  </si>
  <si>
    <t>Zadania w zakresie kultury fizycznej</t>
  </si>
  <si>
    <t>DOCHODY OGÓŁEM</t>
  </si>
  <si>
    <t>w tym:</t>
  </si>
  <si>
    <t>dochody bieżące</t>
  </si>
  <si>
    <t xml:space="preserve">finansowane z dotacji </t>
  </si>
  <si>
    <t>finansowane z dochodów własnych</t>
  </si>
  <si>
    <t>dochody majątkowe</t>
  </si>
  <si>
    <t>sprawdzenie:</t>
  </si>
  <si>
    <t>Dochody z tytułu opłat za wpis do rejestru przedsiębiorców prowadzących pracownię psychologiczną, opłat za wpis do ewidencji uprawnionych psychologów i opłat za wpis do ewidencji uprawnionych lekarzy oraz opłat za wpis do ewidencji egzaminatorów wynikających z ustawy o kierujących pojazdami</t>
  </si>
  <si>
    <t>Środki pochodzące z budżetu Unii Europejskiej na realizację projektu pn. "Podkarpacie Uczy Cyfrowo III" w ramach Programu Operacyjnego Polska Cyfrowa na lata 2014-2020</t>
  </si>
  <si>
    <t>Dotacja celowa z budżetu państwa na realizację projektu pn. "Podkarpacie Uczy Cyfrowo III" w ramach Programu Operacyjnego Polska Cyfrowa na lata 2014-2020</t>
  </si>
  <si>
    <t>2100</t>
  </si>
  <si>
    <t>Środki na inwestycje na drogach publicznych, powiatowych i wojewódzkich oraz na drogach powiatowych, wojewódzkich i krajowych w granicach miast na prawach powiatu</t>
  </si>
  <si>
    <t>Odsetki od nieterminowej wpłaty opłat rocznych za zajęcie pasa drogowego i czynszu dzierżawnego stałego za udostępnienie sieci szerokopasmowej</t>
  </si>
  <si>
    <t>Wpływy z tytułu grzywny związanej z przymuszeniem wykonania obowiązku o charakterze niepieniężnym</t>
  </si>
  <si>
    <t>Odsetki od zwrotu części dotacji wykorzystanej niezgodnie z przeznaczeniem na  realizację zadań w ramach Programu "Podkarpacki Naturalny Wypas III"</t>
  </si>
  <si>
    <t>6259</t>
  </si>
  <si>
    <t>6300</t>
  </si>
  <si>
    <t>92695</t>
  </si>
  <si>
    <t>4300</t>
  </si>
  <si>
    <t>4210</t>
  </si>
  <si>
    <t>4120</t>
  </si>
  <si>
    <t>4110</t>
  </si>
  <si>
    <t>92605</t>
  </si>
  <si>
    <t>Obiekty sportowe</t>
  </si>
  <si>
    <t>926</t>
  </si>
  <si>
    <t>4170</t>
  </si>
  <si>
    <t>3030</t>
  </si>
  <si>
    <t>3020</t>
  </si>
  <si>
    <t>4700</t>
  </si>
  <si>
    <t>4480</t>
  </si>
  <si>
    <t>4440</t>
  </si>
  <si>
    <t>4430</t>
  </si>
  <si>
    <t>4410</t>
  </si>
  <si>
    <t>4390</t>
  </si>
  <si>
    <t>4360</t>
  </si>
  <si>
    <t>4280</t>
  </si>
  <si>
    <t>4270</t>
  </si>
  <si>
    <t>4260</t>
  </si>
  <si>
    <t>4240</t>
  </si>
  <si>
    <t>4220</t>
  </si>
  <si>
    <t>4190</t>
  </si>
  <si>
    <t>4710</t>
  </si>
  <si>
    <t>4040</t>
  </si>
  <si>
    <t>4010</t>
  </si>
  <si>
    <t>6220</t>
  </si>
  <si>
    <t>6050</t>
  </si>
  <si>
    <t>92120</t>
  </si>
  <si>
    <t>2800</t>
  </si>
  <si>
    <t>2480</t>
  </si>
  <si>
    <t>92118</t>
  </si>
  <si>
    <t>Biblioteki</t>
  </si>
  <si>
    <t>92116</t>
  </si>
  <si>
    <t>92105</t>
  </si>
  <si>
    <t>921</t>
  </si>
  <si>
    <t>90095</t>
  </si>
  <si>
    <t>90026</t>
  </si>
  <si>
    <t>Wpływy i wydatki związane z wprowadzeniem do obrotu baterii i akumulatorów</t>
  </si>
  <si>
    <t>90024</t>
  </si>
  <si>
    <t>Wpływy i wydatki związane z gromadzeniem środków z opłat produktowych</t>
  </si>
  <si>
    <t>90020</t>
  </si>
  <si>
    <t>6060</t>
  </si>
  <si>
    <t>Wpływy i wydatki związane z gromadzeniem środków z opłat i kar za korzystanie ze środowiska</t>
  </si>
  <si>
    <t>90019</t>
  </si>
  <si>
    <t>Zmniejszenie hałasu i wibracji</t>
  </si>
  <si>
    <t>90005</t>
  </si>
  <si>
    <t>900</t>
  </si>
  <si>
    <t>Działalność placówek opiekuńczo-wychowawczych</t>
  </si>
  <si>
    <t>85510</t>
  </si>
  <si>
    <t>4520</t>
  </si>
  <si>
    <t>4140</t>
  </si>
  <si>
    <t>85509</t>
  </si>
  <si>
    <t>6069</t>
  </si>
  <si>
    <t>855</t>
  </si>
  <si>
    <t>Młodzieżowe ośrodki wychowawcze</t>
  </si>
  <si>
    <t>85420</t>
  </si>
  <si>
    <t>Szkolne schroniska młodzieżowe</t>
  </si>
  <si>
    <t>854</t>
  </si>
  <si>
    <t>85395</t>
  </si>
  <si>
    <t>Wojewódzkie urzędy pracy</t>
  </si>
  <si>
    <t>85332</t>
  </si>
  <si>
    <t>6230</t>
  </si>
  <si>
    <t>85311</t>
  </si>
  <si>
    <t>853</t>
  </si>
  <si>
    <t>Usuwanie skutków klęsk żywiołowych</t>
  </si>
  <si>
    <t>Pomoc dla cudzoziemców</t>
  </si>
  <si>
    <t>85205</t>
  </si>
  <si>
    <t>852</t>
  </si>
  <si>
    <t>85195</t>
  </si>
  <si>
    <t>4320</t>
  </si>
  <si>
    <t>Staże i specjalizacje medyczne</t>
  </si>
  <si>
    <t>85157</t>
  </si>
  <si>
    <t>Przeciwdziałanie alkoholizmowi</t>
  </si>
  <si>
    <t>85154</t>
  </si>
  <si>
    <t>85153</t>
  </si>
  <si>
    <t>85141</t>
  </si>
  <si>
    <t>85111</t>
  </si>
  <si>
    <t>851</t>
  </si>
  <si>
    <t>80195</t>
  </si>
  <si>
    <t>80153</t>
  </si>
  <si>
    <t>801</t>
  </si>
  <si>
    <t>758</t>
  </si>
  <si>
    <t>75421</t>
  </si>
  <si>
    <t>Zadania ratownictwa górskiego i wodnego</t>
  </si>
  <si>
    <t>Ochotnicze straże pożarne</t>
  </si>
  <si>
    <t>75412</t>
  </si>
  <si>
    <t>754</t>
  </si>
  <si>
    <t>2830</t>
  </si>
  <si>
    <t>75095</t>
  </si>
  <si>
    <t>75084</t>
  </si>
  <si>
    <t>75075</t>
  </si>
  <si>
    <t>75046</t>
  </si>
  <si>
    <t>4500</t>
  </si>
  <si>
    <t>Samorządowe sejmiki województw</t>
  </si>
  <si>
    <t>75011</t>
  </si>
  <si>
    <t>750</t>
  </si>
  <si>
    <t>72095</t>
  </si>
  <si>
    <t>720</t>
  </si>
  <si>
    <t>71012</t>
  </si>
  <si>
    <t>Plany zagospodarowania przestrzennego</t>
  </si>
  <si>
    <t>71004</t>
  </si>
  <si>
    <t>710</t>
  </si>
  <si>
    <t>70095</t>
  </si>
  <si>
    <t>4590</t>
  </si>
  <si>
    <t>70005</t>
  </si>
  <si>
    <t>700</t>
  </si>
  <si>
    <t>63095</t>
  </si>
  <si>
    <t>63003</t>
  </si>
  <si>
    <t>630</t>
  </si>
  <si>
    <t>60095</t>
  </si>
  <si>
    <t>60078</t>
  </si>
  <si>
    <t>Drogi wewnętrzne</t>
  </si>
  <si>
    <t>60017</t>
  </si>
  <si>
    <t>Drogi publiczne gminne</t>
  </si>
  <si>
    <t>60016</t>
  </si>
  <si>
    <t>Drogi publiczne powiatowe</t>
  </si>
  <si>
    <t>60014</t>
  </si>
  <si>
    <t>6620</t>
  </si>
  <si>
    <t>6610</t>
  </si>
  <si>
    <t>6100</t>
  </si>
  <si>
    <t>60013</t>
  </si>
  <si>
    <t>60004</t>
  </si>
  <si>
    <t>2630</t>
  </si>
  <si>
    <t>2310</t>
  </si>
  <si>
    <t>60003</t>
  </si>
  <si>
    <t>60002</t>
  </si>
  <si>
    <t>60001</t>
  </si>
  <si>
    <t>600</t>
  </si>
  <si>
    <t>01078</t>
  </si>
  <si>
    <t>Rozdział</t>
  </si>
  <si>
    <t>majątkowe</t>
  </si>
  <si>
    <t>bieżące</t>
  </si>
  <si>
    <t>6510</t>
  </si>
  <si>
    <t>71095</t>
  </si>
  <si>
    <t>Ośrodki dokumentacji geodezyjnej i kartograficznej</t>
  </si>
  <si>
    <t>6513</t>
  </si>
  <si>
    <t>% wykonania 
(7:6)</t>
  </si>
  <si>
    <t>Nazwa</t>
  </si>
  <si>
    <t xml:space="preserve">I. DOCHODY </t>
  </si>
  <si>
    <t>Zestawienie wykonania planu dochodów i wydatków zadań z zakresu administracji rządowej wykonywanych 
przez samorząd województwa</t>
  </si>
  <si>
    <t>WYDATKI OGÓŁEM</t>
  </si>
  <si>
    <t>razem</t>
  </si>
  <si>
    <t>15.</t>
  </si>
  <si>
    <t>14.</t>
  </si>
  <si>
    <t>13.</t>
  </si>
  <si>
    <t>12.</t>
  </si>
  <si>
    <t>11.</t>
  </si>
  <si>
    <t>10.</t>
  </si>
  <si>
    <t>9.</t>
  </si>
  <si>
    <t>wydatki związane z realizacją ich statutowych zadań</t>
  </si>
  <si>
    <t>wynagro-
dzenia i 
składki od nich naliczane</t>
  </si>
  <si>
    <t>Świadczenia na rzecz osób fizycznych</t>
  </si>
  <si>
    <t>Dotacje na zadania bieżące</t>
  </si>
  <si>
    <t>Wydatki jednostek budżetowych</t>
  </si>
  <si>
    <t>% wykonania
(7:6)</t>
  </si>
  <si>
    <t>Wydatki 
majątkowe</t>
  </si>
  <si>
    <t>z tego:</t>
  </si>
  <si>
    <t>Wydatki 
bieżące</t>
  </si>
  <si>
    <t xml:space="preserve">Plan wg uchwały budżetowej </t>
  </si>
  <si>
    <t xml:space="preserve"> w złotych</t>
  </si>
  <si>
    <t>OGÓŁEM</t>
  </si>
  <si>
    <t xml:space="preserve">Ustawa z dnia 14 grudnia 2012 r.
 o odpadach (z późn. zm.) </t>
  </si>
  <si>
    <t>Ustawa z dnia 24 kwietnia 2009 r. 
o bateriach i akumulatorach 
(z późn. zm.)</t>
  </si>
  <si>
    <t>Ustawa z dnia 11 maja 2001 r. o obowiązkach przedsiębiorców w zakresie gospodarowania niektórymi odpadami oraz 
o opłacie produktowej, ustawa z dnia 20 stycznia 2005 r. o recyklingu pojazdów wycofanych z eksploatacji, ustawa z dnia 13 czerwca 2013 r. o gospodarce opakowaniami i odpadami opakowaniowymi, ustawa z dnia 11 września 2015 r. o zużytym sprzęcie elektrycznym i elektronicznym 
(z późn. zm.)</t>
  </si>
  <si>
    <t>Ustawa z dnia 27 kwietnia 2001 r. Prawo ochrony środowiska 
(z późn. zm.)</t>
  </si>
  <si>
    <t xml:space="preserve">
</t>
  </si>
  <si>
    <t xml:space="preserve">Przeciwdziałanie alkoholizmowi </t>
  </si>
  <si>
    <t>Ustawa z dnia 26 października 1982 r. 
o wychowaniu w trzeźwości 
i przeciwdziałaniu alkoholizmowi 
(z późn. zm.)</t>
  </si>
  <si>
    <t>75814</t>
  </si>
  <si>
    <t>75618</t>
  </si>
  <si>
    <t>DOCHODY OD OSÓB PRAWNYCH, OD OSÓB FIZYCZNYCH I OD INNYCH JEDNOSTEK NIEPOSIADAJĄCYCH OSOBOWOŚCI PRAWNEJ ORAZ WYDATKI ZWIĄZANE Z ICH POBOREM</t>
  </si>
  <si>
    <t>756</t>
  </si>
  <si>
    <t xml:space="preserve">Usuwanie skutków klęsk żywiołowych </t>
  </si>
  <si>
    <t>6350</t>
  </si>
  <si>
    <t xml:space="preserve">Krajowe pasażerskie przewozy kolejowe </t>
  </si>
  <si>
    <t>Ustawa z dnia 16 grudnia 2005r. o Funduszu Kolejowym</t>
  </si>
  <si>
    <t>Ustawa z dnia 3 lutego 1995r. 
o ochronie gruntów rolnych i leśnych 
(z późn. zm.)</t>
  </si>
  <si>
    <t xml:space="preserve">ROLNICTWO I ŁOWIECTWO </t>
  </si>
  <si>
    <t xml:space="preserve">Wykonanie </t>
  </si>
  <si>
    <t>Plan
po zmianach</t>
  </si>
  <si>
    <t>w tym wydatki:</t>
  </si>
  <si>
    <t>Ustawa</t>
  </si>
  <si>
    <t>Wydatki</t>
  </si>
  <si>
    <t>Dochody</t>
  </si>
  <si>
    <t>Zestawienie wykonania planu dochodów i wydatków związanych ze szczególnymi zasadami wykonywania budżetu województwa wynikającymi z odrębnych ustaw</t>
  </si>
  <si>
    <t xml:space="preserve"> OGÓŁEM</t>
  </si>
  <si>
    <t>Dotacja celowa otrzymana z Powiatu Rzeszowskiego dla  Wojewódzkiej i Miejskiej Bibliotece Publicznej w Rzeszowie z przeznaczeniem narealizację zadania pn. „Wykonywanie zadań powiatowej biblioteki publicznej dla Powiatu Rzeszowskiego”.</t>
  </si>
  <si>
    <t>Dotacja celowa  otrzymana od Gminy Miasto Rzeszów z przeznaczeniem na współfinansowanie działalności bieżącej Wojewódzkiej i Miejskiej Biblioteki Publicznej w Rzeszowie.</t>
  </si>
  <si>
    <t>Pomoc finansowa udzielona przez Gminę  Miasto Rzeszów dla Filharmonii Podkarpackiej im. Artura Malawskiego w Rzeszowie z przeznaczeniem na organizację imprezy pn. „Muzyczny Festiwal w Łańcucie”.</t>
  </si>
  <si>
    <t>BEZPIECZEŃSTWO PUBLICZNE I OCHRONA PRZECIWPOŻAROWA</t>
  </si>
  <si>
    <t>Pomoc finansowa udzielona przez jednostki samorządu terytorialnego z przeznaczeniem na realizację zadania pn.:
 "Budowa Podmiejskiej Kolei Aglomeracyjnej - PKA": budowa zaplecza technicznego" w ramach Programu Operacyjnego Infrastruktura i Środowisko na lata 2014-2020.</t>
  </si>
  <si>
    <t>Pomoc finansowa udzielona przez jednostki samorządu terytorialnego z przeznaczeniem na realizację zadania pn.:
"Organizowanie kolejowych przewozów pasażerskich realizowanych w ramach Podmiejskiej Kolei Aglomeracyjnej - PKA".</t>
  </si>
  <si>
    <t>Dotacja celowa otrzymana od Województwa Świętokrzyskiego z przeznaczeniem na realizację zadania pn.: "Organizowanie kolejowych przewozów pasażerskich realizowanych w ramach przewozów wojewódzkich".</t>
  </si>
  <si>
    <t xml:space="preserve">TRANSPORT I ŁĄCZNOŚĆ </t>
  </si>
  <si>
    <t>Przeznaczenie</t>
  </si>
  <si>
    <t>Dochody - otrzymane dotacje</t>
  </si>
  <si>
    <t>Zestawienie wykonania planu dochodów i wydatków związanych z realizacją zadań wykonywanych w drodze umów lub porozumień 
między jednostkami samorządu terytorialnego na dofinansowanie własnych zadań bieżących oraz zadań inwestycyjnych i zakupów inwestycyjnych</t>
  </si>
  <si>
    <t>Dotacja celowa na pomoc finansową dla Gminy Haczów na zadanie pn. „Wyposażenie boiska sportowego we Wzdowie” realizowane w ramach „Podkarpackiego Programu Odnowy Wsi na lata 2021-2025”.</t>
  </si>
  <si>
    <t>Szkoły podstawowe</t>
  </si>
  <si>
    <t>Dotacja celowa na realizację zadania powierzonego Województwu Warmińsko – Mazurskiemu na dofinansowanie zadań związanych z funkcjonowaniem 
i działalnością Domu Polski Wschodniej w Brukseli.</t>
  </si>
  <si>
    <t>Dotacje celowe dla gmin i powiatów oraz ich związków – organizatorów publicznego transportu zbiorowego na finansowanie wypłaty rekompensaty operatorom publicznego transportu zbiorowego z tytułu utraconych przychodów w związku ze stosowaniem ustawowych uprawnień do ulgowych przejazdów w przewozach o charakterze użyteczności publicznej.</t>
  </si>
  <si>
    <t>Krajowe pasażerskie przewozy pasażerowe</t>
  </si>
  <si>
    <t>Dotacja celowa na pomoc finansową dla Województwa Małopolskiego z przeznaczeniem na realizację zadania pn. "Dofinansowanie zadań związanych 
z organizacją regionalnych kolejowych przewozów pasażerskich w relacji Kraków – Jasło i Nowy Sącz – Jasło”.</t>
  </si>
  <si>
    <t>Dotacje celowe dla powiatów z przeznaczeniem na zakup sprzętu pomiarowego i informatycznego oraz oprogramowania niezbędnego do prowadzenia spraw ochrony gruntów rolnych, budowę i modernizację dróg dojazdowych do gruntów rolnych oraz budowę i renowację zbiorników wodnych służących małej retencji.</t>
  </si>
  <si>
    <t>Dotacje celowe dla gmin z przeznaczeniem na budowę i modernizację dróg dojazdowych do gruntów rolnych oraz budowę i renowację zbiorników wodnych służących małej retencji.</t>
  </si>
  <si>
    <t>Zestawienie wykonania planu dotacji udzielonych innym jednostkom samorządu terytorialnego i ich związkom
na dofinansowanie własnych zadań bieżących oraz zadań inwestycyjnych i zakupów inwestycyjnych</t>
  </si>
  <si>
    <t xml:space="preserve">Udzielone pożyczki </t>
  </si>
  <si>
    <t>Wykup obligacji</t>
  </si>
  <si>
    <t>Spłaty rat pożyczki długoterminowej z Banku Rozwoju Rady Europy (CEB)</t>
  </si>
  <si>
    <t>% wykonania
(3:2)</t>
  </si>
  <si>
    <t>Przeznaczenie rozchodu</t>
  </si>
  <si>
    <t>2. ROZCHODY</t>
  </si>
  <si>
    <t>Nadwyżka z lat ubiegłych</t>
  </si>
  <si>
    <t xml:space="preserve">Niewykorzystane środki pieniężne na rachunku bieżącym budżetu, wynikające z rozliczenia środków określonych w art. 5 ust. 1 pkt 2 ustawy o finansach publicznych i dotacji na realizację programu, projektu lub zadania finansowanego z udziałem tych środków </t>
  </si>
  <si>
    <t xml:space="preserve">Niewykorzystane środki na rachunku bieżącym budżetu, wynikające z rozliczenia dochodów i wydatków nimi finansowanych związane ze szczególnymi zasadami wykonywania budżetu określonymi w odrębnych ustawach </t>
  </si>
  <si>
    <t>Wolne środki jako nadwyżka środków pieniężnych na rachunku bieżącym budżetu jednostki samorządu terytorialnego wynikające z rozliczeń wyemitowanych papierów wartościowych, kredytów, pożyczek z lat ubiegłych</t>
  </si>
  <si>
    <t>-</t>
  </si>
  <si>
    <t xml:space="preserve">Spłata udzielonych z budżetu pożyczek </t>
  </si>
  <si>
    <t>Źródło przychodu</t>
  </si>
  <si>
    <t>1. PRZYCHODY</t>
  </si>
  <si>
    <t>Zestawienie wykonania planu przychodów i rozchodów budżetu</t>
  </si>
  <si>
    <t>Zestawienie wykonania planu dochodów województwa 
(według działów, rozdziałów, paragrafów klasyfikacji budżetowej oraz źródeł pochodzenia i rodzajów dochodów)</t>
  </si>
  <si>
    <t xml:space="preserve">Odsetki od zwrotu przez przewoźników autobusowych dotacji wykorzystanych niezgodnie z przeznaczeniem </t>
  </si>
  <si>
    <t>Zwrot przez przewoźników autobusowych dotacji wykorzystanych niezgodnie z przeznaczeniem</t>
  </si>
  <si>
    <t>Wpływ odszkodowań za przejęcie nieruchomości</t>
  </si>
  <si>
    <t xml:space="preserve">Zwrot przez samodzielne publiczne zakłady opieki zdrowotnej dotacji wykorzystanych niezgodnie z przeznaczeniem, pobranych nienależnie lub w nadmiernej wysokości </t>
  </si>
  <si>
    <t>Zwrot przez samodzielne publiczne zakłady opieki zdrowotnej dotacji wykorzystanych niezgodnie z przeznaczeniem, pobranych nienależnie lub w nadmiernej wysokości</t>
  </si>
  <si>
    <t>Ustawa z dnia 31 marca 2020 r. o zmianie ustawy o szczególnych rozwiązaniach związanych z zapobieganiem, przeciwdziałaniem i zwalczaniem COVID-19, innych chorób zakaźnych oraz wywołanych nimi sytuacji kryzysowych oraz niektórych innych ustaw (z późn. zm.)</t>
  </si>
  <si>
    <t>Środki pochodzące z budżetu Unii Europejskiej na realizację projektu pn.„Poprawa dostępności do usług publicznych w Urzędzie Marszałkowskim Województwa Podkarpackiego w Rzeszowie” w ramach Programu Operacyjnego Wiedza Edukacja Rozwój 2014-2020</t>
  </si>
  <si>
    <t>Środki otrzymane z Rządowego Funduszu Polski Ład: Program Inwestycji Strategicznych na realizację zadań inwestycyjnych</t>
  </si>
  <si>
    <t>Dotacja celowa z budżetu państwa na finansowanie wydatków objętych Pomocą Techniczną REACT EU Regionalnego Programu Operacyjnego Województwa Podkarpackiego na lata 2014 - 2020</t>
  </si>
  <si>
    <t>Dotacja celowa z budżetu państwa na finansowanie wydatków objętych Pomocą Techniczną FEP 2021-2027</t>
  </si>
  <si>
    <t xml:space="preserve">Programy regionalne 2021-2027 finansowane z udziałem środków Europejskiego Funduszu Rozwoju Regionalnego </t>
  </si>
  <si>
    <t>Zarządzanie krysysowe</t>
  </si>
  <si>
    <t>2001</t>
  </si>
  <si>
    <t>0959</t>
  </si>
  <si>
    <t>2460</t>
  </si>
  <si>
    <t xml:space="preserve">Dotacja celowa z budżetu państwa na realizację projektu pn. „Poprawa dostępności do usług publicznych w Urzędzie Marszałkowskim Województwa Podkarpackiego w Rzeszowie” w ramach Programu Operacyjnego Wiedza Edukacja Rozwój 2014-2020 </t>
  </si>
  <si>
    <t xml:space="preserve">Zwrot przez partnera części niewykorzystanej dotacji na realizację projektu pn. „Podkarpacka Platforma Wsparcia Biznesu” w ramach Regionalnego Programu Operacyjnego Województwa Podkarpackiego na lata 2014-2020 </t>
  </si>
  <si>
    <t xml:space="preserve">Zwrot części dotacji wykorzystanych niezgodnie z przeznaczeniem, pobranych nienależnie lub w nadmiernej wysokości przez beneficjentów projektów realizowanych w ramach Regionalnego Programu Operacyjnego Województwa Podkarpackiego na lata 2007-2013 </t>
  </si>
  <si>
    <t xml:space="preserve">Zwrot części niewykorzystanych dotacji oraz dotacji wykorzystanych niezgodnie z przeznaczeniem, pobranych nienależnie lub w nadmiernej wysokości przez beneficjentów projektów realizowanych w ramach Regionalnego Programu Operacyjnego Województwa Podkarpackiego na lata 2014-2020 </t>
  </si>
  <si>
    <t xml:space="preserve"> </t>
  </si>
  <si>
    <t>Pomoc finansowa udzielona przez Miasto Łańcut z przeznaczeniem na realizację zadania pn. "Dzieje Starego Zamku w Łańcucie - zapomniane dziedzictwo".</t>
  </si>
  <si>
    <t xml:space="preserve">Wpływ z tytułu kary umownej związanej z nieterminowym dostosowaniem budynku na potrzeby projektu pn. „Podkarpackie Centrum Integracji Cudzoziemców” realizowanego w ramach RPO WP na lata 2014-2020 </t>
  </si>
  <si>
    <r>
      <t xml:space="preserve">Pomoc finansowa udzielona przez jednostki samorządu terytorialnego z przeznaczeniem na:
1) remonty chodników przy drogach wojewódzkich w kwocie - 793.690,20 zł,
2) odnowy dróg wojewódzkich - 2.349.437,28 zł.
</t>
    </r>
    <r>
      <rPr>
        <i/>
        <sz val="11"/>
        <color theme="1"/>
        <rFont val="Arial"/>
        <family val="2"/>
        <charset val="238"/>
      </rPr>
      <t>Szczegółowy podział pomocy finansowej przedstawiono w objaśnieniach do wykonania wydatków rozdziału 60013.</t>
    </r>
  </si>
  <si>
    <t xml:space="preserve">Dotacja celowa na pomoc finansową dla Gminy Niwiska na zadanie pn.  "Wydanie książki o wsi Hucisko w ramach „Podkarpackiego Programu Odnowy Wsi na lata 2021-2025 </t>
  </si>
  <si>
    <t>Dotacja celowa na pomoc finansową dla Gminy Świlcza na zadanie pn. Renowacja zabytkowego krzyża na kamiennym cokole jako zachowanie dziedzictwa kulturowego i historycznego Świlczy w ramach „Podkarpackiego Programu Odnowy wsi na lata 2021 - 2025”.</t>
  </si>
  <si>
    <t>Dotacja otrzymana z Narodowego Funduszu Ochrony Środowiska i Gospodarki Wodnej w Rzeszowie</t>
  </si>
  <si>
    <t xml:space="preserve">Zwrot części niewykorzystanej pomocy finansowej przez Gminę Świlcza na realizację zadania pn. „Przygotowanie studium uwarunkowań i kierunków zagospodarowania przestrzennego oraz miejscowego planu zagospodarowania przestrzennego niezbędnego do utworzenia strefy inwestycyjnej na terenie Gminy Świlcza” </t>
  </si>
  <si>
    <t>Zestawienie wykonania planu wydatków województwa 
(według działów, rozdziałów, paragrafów klasyfikacji budżetowej oraz rodzajów wydatków)</t>
  </si>
  <si>
    <t>Wyszczególnienie</t>
  </si>
  <si>
    <t>Plan na 2023 r.</t>
  </si>
  <si>
    <t>Rolnictwo i łowiectwo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</si>
  <si>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</si>
  <si>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</si>
  <si>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</si>
  <si>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</si>
  <si>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RG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</si>
  <si>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</si>
  <si>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</si>
  <si>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</si>
  <si>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</si>
  <si>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</si>
  <si>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Wpłaty na PPK finansowane przez podmiot zatrudniający</t>
  </si>
  <si>
    <t xml:space="preserve"> - wydatki związane z realizacją zadań statutowych jednostek budżetowych</t>
  </si>
  <si>
    <t>Wpłaty na Państwowy Fundusz Rehabilitacji Osób Niepełnosprawnych</t>
  </si>
  <si>
    <t>Zakup materiałów i wyposażenia</t>
  </si>
  <si>
    <t>Zakup środków żywności</t>
  </si>
  <si>
    <t>Zakup energii</t>
  </si>
  <si>
    <t>Zakup usług remontowych</t>
  </si>
  <si>
    <t>Zakup usług zdrowotnych</t>
  </si>
  <si>
    <t>Zakup usług pozostałych</t>
  </si>
  <si>
    <t>Opłaty z tytułu zakupu usług telekomunikacyjnych</t>
  </si>
  <si>
    <t>Zakup usług obejmujących wykonanie ekspertyz, analiz i opinii</t>
  </si>
  <si>
    <t>4400</t>
  </si>
  <si>
    <t>Opłaty za administrowanie i czynsze za budynki, lokale i pomieszczenia garażowe</t>
  </si>
  <si>
    <t>Podróże służbowe krajowe</t>
  </si>
  <si>
    <t>4420</t>
  </si>
  <si>
    <t>Podróże służbowe zagraniczne</t>
  </si>
  <si>
    <t>Różne opłaty i składki</t>
  </si>
  <si>
    <t>Odpisy na zakładowy fundusz świadczeń socjalnych</t>
  </si>
  <si>
    <t>Podatek od nieruchomości</t>
  </si>
  <si>
    <t>4510</t>
  </si>
  <si>
    <t>Opłaty na rzecz budżetu państwa</t>
  </si>
  <si>
    <t>Opłaty na rzecz budżetów jednostek samorządu terytorialnego</t>
  </si>
  <si>
    <t>4530</t>
  </si>
  <si>
    <t>Podatek od towarów i usług (VAT)</t>
  </si>
  <si>
    <t xml:space="preserve">Szkolenia pracowników niebędących członkami korpusu służby cywilnej </t>
  </si>
  <si>
    <t>świadczenia na rzecz osób fizycznych:</t>
  </si>
  <si>
    <t>Wydatki osobowe niezaliczone do wynagrodzeń</t>
  </si>
  <si>
    <t>wydatki majątkowe:</t>
  </si>
  <si>
    <t>inwestycje i zakupy inwestycyjne</t>
  </si>
  <si>
    <t>Wydatki na zakupy inwestycyjne jednostek budżetowych</t>
  </si>
  <si>
    <t xml:space="preserve">Program Rozwoju Obszarów Wiejskich </t>
  </si>
  <si>
    <t>OW</t>
  </si>
  <si>
    <t>wydatki na programy finansowane z udziałem środków UE i źródeł zagranicznych</t>
  </si>
  <si>
    <t>2008</t>
  </si>
  <si>
    <t>Dotacje celowe w ramach programów finansowanych z udziałem środków europejskich oraz środków, o których mowa w art. 5 ust. 1 pkt 3 oraz ust.3 pkt 5 i 6 ustawy, lub płatności w ramach budżetu środków europejskich, z wyłączeniem wydatków klasyfikowanych w paragrafie 205</t>
  </si>
  <si>
    <t>2009</t>
  </si>
  <si>
    <t>Dotacje celowe w ramach programów finansowanych z udziałem środków europejskich oraz środków, o których mowa w art.. 5 ust. 3 pkt 5 lit. a i b ustawy, lub płatności w ramach budżetu środków europejskich, realizowanych przez jednostki samorządu terytorialnego</t>
  </si>
  <si>
    <t>4018</t>
  </si>
  <si>
    <t>4019</t>
  </si>
  <si>
    <t>4048</t>
  </si>
  <si>
    <t>4049</t>
  </si>
  <si>
    <t>4118</t>
  </si>
  <si>
    <t>4119</t>
  </si>
  <si>
    <t>4128</t>
  </si>
  <si>
    <t>4129</t>
  </si>
  <si>
    <t>4178</t>
  </si>
  <si>
    <t>4179</t>
  </si>
  <si>
    <t>4198</t>
  </si>
  <si>
    <t>Nagrody konkursowe</t>
  </si>
  <si>
    <t>4199</t>
  </si>
  <si>
    <t>4218</t>
  </si>
  <si>
    <t>4219</t>
  </si>
  <si>
    <t>4278</t>
  </si>
  <si>
    <t>4279</t>
  </si>
  <si>
    <t>4308</t>
  </si>
  <si>
    <t>4309</t>
  </si>
  <si>
    <t>4418</t>
  </si>
  <si>
    <t>4419</t>
  </si>
  <si>
    <t>4438</t>
  </si>
  <si>
    <t>4439</t>
  </si>
  <si>
    <t>4708</t>
  </si>
  <si>
    <t>4709</t>
  </si>
  <si>
    <t>4718</t>
  </si>
  <si>
    <t>4719</t>
  </si>
  <si>
    <t>dotacje na zadania bieżące:</t>
  </si>
  <si>
    <t>Dotacje celowe przekazane gminie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</si>
  <si>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</si>
  <si>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Dotacje celowe przekazane gminie na inwestycje i zakupy inwestycyjne realizowane na podstawie porozumień (umów) między jednostkami samorządu terytorialnego</t>
  </si>
  <si>
    <t>Dotacje celowe przekazane dla powiatu na inwestycje i zakupy inwestycyjne realizowane na podstawie porozumień (umów) między jednostkami samorządu terytorialnego</t>
  </si>
  <si>
    <t>OR</t>
  </si>
  <si>
    <t>Kary i odszkodowania wypłacane na rzecz osób fizycznych</t>
  </si>
  <si>
    <t>4610</t>
  </si>
  <si>
    <t>Koszty postępowania sądowego i prokuratorskiego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</si>
  <si>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</si>
  <si>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Rybołówstwo i rybactwo</t>
  </si>
  <si>
    <t>Program Operacyjny Zrównoważony rozwój sektora rybołówstwa i nadbrzeżnych obszarów rybackich 2007-2013 oraz Program Operacyjny Rybactwo i Morze 2014-2020</t>
  </si>
  <si>
    <t>Przetwórstwo przemysłowe</t>
  </si>
  <si>
    <t>Dotacje celowe w ramach programów finansowanych z udziałem środków europejskich oraz środków, o których mowa w art. 5 ust. 1 pkt. 3 oraz ust. 3 pkt. 5 i 6 ustawy, lub płatności w ramach budżetu środków europejskich, z wyłączeniem wydatków klasyfikowanych w paragrafie 205</t>
  </si>
  <si>
    <t>RP</t>
  </si>
  <si>
    <t>2957</t>
  </si>
  <si>
    <t>Zwrot niewykorzystanych dotacji oraz płatności</t>
  </si>
  <si>
    <t>GR</t>
  </si>
  <si>
    <t>4428</t>
  </si>
  <si>
    <t>4429</t>
  </si>
  <si>
    <t>6669</t>
  </si>
  <si>
    <t>Zwroty dotacji oraz płatności wykorzystanych niezgodnie z przeznaczeniem lub wykorzystanych z naruszeniem procedur, o których mowa w art. 184 ustawy, pobranych nienależnie lub w nadmiernej wysokości, dotyczące wydatków majątkowych</t>
  </si>
  <si>
    <t>Transport i łączność</t>
  </si>
  <si>
    <t>DT</t>
  </si>
  <si>
    <t>2340</t>
  </si>
  <si>
    <t>Dotacja celowa dla jednostki spoza sektora finansów publicznych na finansowanie lub dofinansowanie zadań bieżących związanych z pomocą obywatelom Ukrainy</t>
  </si>
  <si>
    <t>Dotacja celowa na pomoc finansową udzielaną między jednostkami samorządu terytorialnego na dofinansowanie własnych zadań bieżących</t>
  </si>
  <si>
    <t>Dotacja celowa z budżetu na finansowanie lub dofinansowanie zadań zleconych do realizacji pozostałym jednostkom niezaliczanym do sektora finansów publicznych</t>
  </si>
  <si>
    <t>6067</t>
  </si>
  <si>
    <t>- wydatki na programy finansowane z udziałem środków UE i źródeł zagranicznych</t>
  </si>
  <si>
    <t>Opłata z tytułu zakupu usług telekomunikacyjnych</t>
  </si>
  <si>
    <t>Wydatki inwestycyjne jednostek budżetowych</t>
  </si>
  <si>
    <t>6057</t>
  </si>
  <si>
    <t>6059</t>
  </si>
  <si>
    <t>6207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</si>
  <si>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</si>
  <si>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</si>
  <si>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6697</t>
  </si>
  <si>
    <t>Zwroty niewykorzystanych dotacji oraz płatności, dotyczące wydatków majątkowych</t>
  </si>
  <si>
    <t xml:space="preserve">Koszty postępowiania sądowego i prokuratorskiego </t>
  </si>
  <si>
    <t xml:space="preserve">Dotacja przedmiotowa z budżetu dla jednostek niezaliczanych do sektora finansów publicznych </t>
  </si>
  <si>
    <t>Dotacja celowa z budżetu dla pozostałych jednostek zaliczanych do sektora finansów publicznych</t>
  </si>
  <si>
    <t>Zwrot dotacji oraz płatności wykorzystanych niezgodnie z przeznaczeniem lub wykorzystanych z naruszeniem procedur, o których mowa w art. 184 ustawy, pobranych nienależnie lub w nadmiernej wysokości</t>
  </si>
  <si>
    <t>4380</t>
  </si>
  <si>
    <t xml:space="preserve">Zakup usług obejmujacych tłumaczenia </t>
  </si>
  <si>
    <t>Pozostałe podatki na rzecz budżetów jednostek samorządu terytorialnego</t>
  </si>
  <si>
    <t>4580</t>
  </si>
  <si>
    <t>Pozostałe odsetki</t>
  </si>
  <si>
    <t xml:space="preserve"> inwestycje i zakupy inwestycyjne</t>
  </si>
  <si>
    <t>Wydatki na zadania inwestycyjne realizowane ze środków otrzymanych z Rządowego Funduszu Inwestycji Lokalnych</t>
  </si>
  <si>
    <t>6370</t>
  </si>
  <si>
    <t xml:space="preserve">Wydatki poniesione ze środków z Rządowego Funduszu Polski Ład: Program Inwstycji Strategicznych na realizację zadań inwestycyjnych </t>
  </si>
  <si>
    <t>Dotacja celowa przekazana gminie na inwestycje i zakupy inwestycyjne realizowane na podstawie porozumień (umów) między jednostkami samorządu terytorialnego</t>
  </si>
  <si>
    <t>Dotacja celowa na pomoc finansową  udzielaną między jednostkami samorządu terytorialnego na dofinansowanie własnych zadań inwestycyjnych i zakupów inwestycyjnych</t>
  </si>
  <si>
    <t>Turystyka</t>
  </si>
  <si>
    <t>Zadania w zakresie upowszechniania turystyki</t>
  </si>
  <si>
    <t>PG</t>
  </si>
  <si>
    <t xml:space="preserve">Dotacje celowe z budżetu jednostki samorządu terytorialnego, udzielone w trybie art. 221 ustawy, na finansowanie lub dofinansowanie zadań zleconych do realizacji organizacjom prowadzącym działalność pożytku publicznego </t>
  </si>
  <si>
    <t>Gospodarka mieszkaniowa</t>
  </si>
  <si>
    <t>4370</t>
  </si>
  <si>
    <t>Zakup usług związanych z pomocą obywatelom Ukrainy</t>
  </si>
  <si>
    <t>OZ</t>
  </si>
  <si>
    <t xml:space="preserve">Dotacja celowa na pomoc finansową udzielaną między jednostkami samorządu terytorialnego na dofinansowanie własnych zadań bieżących </t>
  </si>
  <si>
    <t>6390</t>
  </si>
  <si>
    <t>Środki na finansowanie lub dofinansowanie inwestycji i zakupów inwestycyjnych w zakresie pomocy obywatelom Ukrainy</t>
  </si>
  <si>
    <t>Działalność usługowa</t>
  </si>
  <si>
    <t>RR</t>
  </si>
  <si>
    <t>Informatyka</t>
  </si>
  <si>
    <t>4217</t>
  </si>
  <si>
    <t>4397</t>
  </si>
  <si>
    <t>730</t>
  </si>
  <si>
    <t>Szkolnictwo wyższe i nauka</t>
  </si>
  <si>
    <t>73016</t>
  </si>
  <si>
    <t>EN</t>
  </si>
  <si>
    <t>3210</t>
  </si>
  <si>
    <t>Stypendia i zasiłki dla studentów</t>
  </si>
  <si>
    <t>3250</t>
  </si>
  <si>
    <t>Stypendia różne</t>
  </si>
  <si>
    <t>73095</t>
  </si>
  <si>
    <t>KS</t>
  </si>
  <si>
    <t>2270</t>
  </si>
  <si>
    <t>Dotacja podmiotowa z budżetu dla jednostek systemu szkolnictwa wyższego i nauki zaliczanych do sektora finansów publicznych</t>
  </si>
  <si>
    <t>4017</t>
  </si>
  <si>
    <t>4117</t>
  </si>
  <si>
    <t>4127</t>
  </si>
  <si>
    <t>4177</t>
  </si>
  <si>
    <t>4307</t>
  </si>
  <si>
    <t>4417</t>
  </si>
  <si>
    <t>4427</t>
  </si>
  <si>
    <t>4707</t>
  </si>
  <si>
    <t>4717</t>
  </si>
  <si>
    <t>Dotacje celowe z budżetu na finansowanie lub dofinansowanie kosztów realizacji inwestycji i zakupów inwestycyjnych innych jednostek sektora finansów publicznych</t>
  </si>
  <si>
    <t>Dotacje celowe z budżetu na finansowanie lub dofinansowanie kosztów realizacji inwestycji i zakupów inwestycyjnych jednostek niezaliczanych do sektora finansów publicznych</t>
  </si>
  <si>
    <t>Administracja publiczna</t>
  </si>
  <si>
    <t>75017</t>
  </si>
  <si>
    <t xml:space="preserve">Różne wydatki na rzecz osób fizycznych </t>
  </si>
  <si>
    <t>75018</t>
  </si>
  <si>
    <t>wydatki bieżące</t>
  </si>
  <si>
    <t>OR RG DT</t>
  </si>
  <si>
    <t>OR DT</t>
  </si>
  <si>
    <t>KZ OR RG DT</t>
  </si>
  <si>
    <t>KZ OR RG DT OZ</t>
  </si>
  <si>
    <t>Zakup usług obejmujących tłumaczenia</t>
  </si>
  <si>
    <t>RG DT</t>
  </si>
  <si>
    <t>Różne wydatki na rzecz osób fizycznych</t>
  </si>
  <si>
    <t>2958</t>
  </si>
  <si>
    <t>3028</t>
  </si>
  <si>
    <t>3029</t>
  </si>
  <si>
    <t>3038</t>
  </si>
  <si>
    <t>3039</t>
  </si>
  <si>
    <t>RR RP PG</t>
  </si>
  <si>
    <t>GR PG</t>
  </si>
  <si>
    <t>4268</t>
  </si>
  <si>
    <t>4269</t>
  </si>
  <si>
    <t>4288</t>
  </si>
  <si>
    <t>4289</t>
  </si>
  <si>
    <t>4387</t>
  </si>
  <si>
    <t>4388</t>
  </si>
  <si>
    <t>4389</t>
  </si>
  <si>
    <t>4398</t>
  </si>
  <si>
    <t>RR RP</t>
  </si>
  <si>
    <t>4399</t>
  </si>
  <si>
    <t>4528</t>
  </si>
  <si>
    <t>4529</t>
  </si>
  <si>
    <t>4618</t>
  </si>
  <si>
    <t>4619</t>
  </si>
  <si>
    <t>6068</t>
  </si>
  <si>
    <t>KZ</t>
  </si>
  <si>
    <t>KZ PG</t>
  </si>
  <si>
    <t>KS KZ RG</t>
  </si>
  <si>
    <t>KS KZ RR RG PG</t>
  </si>
  <si>
    <t>Dotacje celowe przekazane do samorządu województwa na zadania bieżące realizowane na podstawie porozumień (umów) między jednostkami samorządu terytorialnego</t>
  </si>
  <si>
    <t>Szkolenia pracowników niebędących członkami korpusu służby cywilnej</t>
  </si>
  <si>
    <t>świadczenia na rzecz osób fizycznych</t>
  </si>
  <si>
    <t>KZ RR GR</t>
  </si>
  <si>
    <t>KS KZ RR GR WP</t>
  </si>
  <si>
    <t>KZ GR</t>
  </si>
  <si>
    <t>KZ RR GR NW</t>
  </si>
  <si>
    <t>RR GR</t>
  </si>
  <si>
    <t>KS GR</t>
  </si>
  <si>
    <t>4540</t>
  </si>
  <si>
    <t>Składki dla organizacji międzynarodowych</t>
  </si>
  <si>
    <t>GR WP</t>
  </si>
  <si>
    <t>KS KZ</t>
  </si>
  <si>
    <t>Dotacje celowe w ramach programów finansowanych z udziałem środków europejskich oraz środków, o których mowa w art.. 5 ust. 3 pkt 5 lit a i b ustawy, lub płatności w ramach budżetu środków europejskich, realizowanych przez jednostki samorządu terytorialnego</t>
  </si>
  <si>
    <t>2918</t>
  </si>
  <si>
    <t xml:space="preserve">Zwrot dotacji oraz płatności wykorzystanych niezgodnie z przeznaczeniem lub wykorzystanych z naruszeniem procedur, o których mowa w art.. 184 ustawy, pobranych nienależnie lub w nadmiernej wysokości </t>
  </si>
  <si>
    <t>GR BI OT</t>
  </si>
  <si>
    <t>GR BI</t>
  </si>
  <si>
    <t>GR OT</t>
  </si>
  <si>
    <t>4228</t>
  </si>
  <si>
    <t>OT</t>
  </si>
  <si>
    <t>4229</t>
  </si>
  <si>
    <t>BI</t>
  </si>
  <si>
    <t>RP GR BI OT</t>
  </si>
  <si>
    <t>RP GR BI</t>
  </si>
  <si>
    <t>4368</t>
  </si>
  <si>
    <t>BI OT</t>
  </si>
  <si>
    <t>4369</t>
  </si>
  <si>
    <t>4408</t>
  </si>
  <si>
    <t>4409</t>
  </si>
  <si>
    <t>4569</t>
  </si>
  <si>
    <t>Odsetki od dotacji oraz płatności: wykorzystanych niezgodnie z przeznaczeniem lub wykorzystanych z naruszeniem procedur, o których mowa w art. 184 ustawy, pobranych nienależnie lub w nadmiernej wyskości</t>
  </si>
  <si>
    <t>6058</t>
  </si>
  <si>
    <t>6200</t>
  </si>
  <si>
    <t>6209</t>
  </si>
  <si>
    <t>6698</t>
  </si>
  <si>
    <t>Bezpieczeństwo publiczne i ochrona przeciwpożarowa</t>
  </si>
  <si>
    <t>75404</t>
  </si>
  <si>
    <t>Komendy wojewódzkie Policji</t>
  </si>
  <si>
    <t>2300</t>
  </si>
  <si>
    <t>Wpłaty jednostek na państwowy fundusz celowy</t>
  </si>
  <si>
    <t>6170</t>
  </si>
  <si>
    <t>Wpłaty jednostek na państwowy fundusz celowy na finansowanie lub dofinansowanie zadań inwestycyjnych</t>
  </si>
  <si>
    <t>75406</t>
  </si>
  <si>
    <t>Straż Graniczna</t>
  </si>
  <si>
    <t>75410</t>
  </si>
  <si>
    <t>Komendy wojewódzkie Państwowej Straży Pożarnej</t>
  </si>
  <si>
    <t>75415</t>
  </si>
  <si>
    <t>757</t>
  </si>
  <si>
    <t>Obsługa długu publicznego</t>
  </si>
  <si>
    <t>75702</t>
  </si>
  <si>
    <t>Obsługa papierów wartościowych, kredytów i pożyczek  oraz innych zobowiązań jednostek samorządu terytorialnego zaliczanych do tytułu dłużnego - kredyty i pożyczki</t>
  </si>
  <si>
    <t>obsługa długu JST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</si>
  <si>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</si>
  <si>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</si>
  <si>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</si>
  <si>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</si>
  <si>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wypłaty z tytułu poręczeń i gwarancji:</t>
  </si>
  <si>
    <t>8030</t>
  </si>
  <si>
    <t xml:space="preserve">Wypłaty z tytułu krajowych poręczeń i gwarancji 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</si>
  <si>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</si>
  <si>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</si>
  <si>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</si>
  <si>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</si>
  <si>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</si>
  <si>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</si>
  <si>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</si>
  <si>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Oświata i wychowanie</t>
  </si>
  <si>
    <t>80101</t>
  </si>
  <si>
    <t xml:space="preserve">Szkoły podstawowe </t>
  </si>
  <si>
    <t>80102</t>
  </si>
  <si>
    <t xml:space="preserve">Wynagrodzenia bezosobowe </t>
  </si>
  <si>
    <t>4790</t>
  </si>
  <si>
    <t>Wynagrodzenia osobowe nauczycieli</t>
  </si>
  <si>
    <t>4800</t>
  </si>
  <si>
    <t>Dodatkowe wynagrodzenie roczne nauczycieli</t>
  </si>
  <si>
    <t>Zakup środków dydaktycznych i książek</t>
  </si>
  <si>
    <t>3040</t>
  </si>
  <si>
    <t>Nagrody o charakterze szczególnym niezaliczone do wynagrodzeń</t>
  </si>
  <si>
    <t>80121</t>
  </si>
  <si>
    <t>Licea ogólnokształcące specjalne</t>
  </si>
  <si>
    <t>80130</t>
  </si>
  <si>
    <t>4340</t>
  </si>
  <si>
    <t>Zakup usług remontowo-konserwatorskich dotyczących obiektów zabytkowych będących w użytkowaniu jednostek budżetowych</t>
  </si>
  <si>
    <t xml:space="preserve">Opłaty na rzecz budżetów jednostek budżetowych </t>
  </si>
  <si>
    <t>3240</t>
  </si>
  <si>
    <t>Stypendia dla uczniów</t>
  </si>
  <si>
    <t>80146</t>
  </si>
  <si>
    <t>4227</t>
  </si>
  <si>
    <t>4247</t>
  </si>
  <si>
    <t>4249</t>
  </si>
  <si>
    <t>4267</t>
  </si>
  <si>
    <t>4367</t>
  </si>
  <si>
    <t xml:space="preserve">Opłaty z tytułu zakupu usług telekomunikacyjnych </t>
  </si>
  <si>
    <t>4407</t>
  </si>
  <si>
    <t>4797</t>
  </si>
  <si>
    <t>4799</t>
  </si>
  <si>
    <t>80147</t>
  </si>
  <si>
    <t>Zapewnienie uczniom prawa do bezpłatnego dostępu do podręczników, materiałów edukacyjnych lub materiałów  ćwiczeniowych</t>
  </si>
  <si>
    <t>4740</t>
  </si>
  <si>
    <t>Wynagrodzenia i uposażenia wypłacane w związku z pomocą obywatelom Ukrainy</t>
  </si>
  <si>
    <t>4750</t>
  </si>
  <si>
    <t>Wynagrodzenia nauczycieli wypłacane w związku z pomocą obywatelom Ukrainy</t>
  </si>
  <si>
    <t>4850</t>
  </si>
  <si>
    <t>Składki i inne pochodne od wynagrodzeń pracowników wypłacanych w związku z pomocą obywatelom Ukrainy</t>
  </si>
  <si>
    <t>4350</t>
  </si>
  <si>
    <t>Zakup towarów (w szczególności materiałów, leków, żywności) w związku z pomocą obywatelom Ukrainy</t>
  </si>
  <si>
    <t>4011</t>
  </si>
  <si>
    <t>4111</t>
  </si>
  <si>
    <t>4121</t>
  </si>
  <si>
    <t>4171</t>
  </si>
  <si>
    <t>4211</t>
  </si>
  <si>
    <t>4221</t>
  </si>
  <si>
    <t>4301</t>
  </si>
  <si>
    <t>4381</t>
  </si>
  <si>
    <t>4411</t>
  </si>
  <si>
    <t>4421</t>
  </si>
  <si>
    <t>4431</t>
  </si>
  <si>
    <t>4711</t>
  </si>
  <si>
    <t>4791</t>
  </si>
  <si>
    <t>Ochrona zdrowia</t>
  </si>
  <si>
    <t>4160</t>
  </si>
  <si>
    <t>Pokrycie ujemnego wyniku finansowego jednostek zaliczanych do sektora finansów publicznych</t>
  </si>
  <si>
    <t>dotacje na zadania bieżące</t>
  </si>
  <si>
    <t>2560</t>
  </si>
  <si>
    <t>Dotacja z budżetu dla samodzielnego publicznego zakładu opieki zdrowotnej utworzonego przez jednostkę samorządu terytorialnego</t>
  </si>
  <si>
    <t>85112</t>
  </si>
  <si>
    <t>Szpitale kliniczne</t>
  </si>
  <si>
    <t>85119</t>
  </si>
  <si>
    <t>Leczenie sanatoryjno - klimatyczne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</si>
  <si>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</si>
  <si>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</si>
  <si>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</si>
  <si>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85120</t>
  </si>
  <si>
    <t>85121</t>
  </si>
  <si>
    <t>Lecznictwo ambulatoryjne</t>
  </si>
  <si>
    <t>85148</t>
  </si>
  <si>
    <t xml:space="preserve">Staże i specjalizacje medyczne </t>
  </si>
  <si>
    <t>Zwroty dotacji oraz płatności wykorzystanych niezgodnie z przeznaczeniem lub wykorzystanych z naruszeniem procedur, o których mowa w art. 184 ustawy, pobranych nienależnie lub w nadmiernej wysokości</t>
  </si>
  <si>
    <t>Pomoc społeczna</t>
  </si>
  <si>
    <t>Dotacje celowe z budżetu jednostki samorządu terytorialnego, udzielone w trybie art.. 221 ustawy, na finansowanie lub dofinansowanie zadań zleconych do realizacji organizacjom prowadzącym działalność pożytku publicznego</t>
  </si>
  <si>
    <t>85217</t>
  </si>
  <si>
    <t>85231</t>
  </si>
  <si>
    <t>4047</t>
  </si>
  <si>
    <t>4447</t>
  </si>
  <si>
    <t>4449</t>
  </si>
  <si>
    <t>85279</t>
  </si>
  <si>
    <t>Pomoc zagraniczna</t>
  </si>
  <si>
    <t>85295</t>
  </si>
  <si>
    <t>4287</t>
  </si>
  <si>
    <t>Pozostałe zadania w zakresie polityki społecznej</t>
  </si>
  <si>
    <t>2570</t>
  </si>
  <si>
    <t>Dotacja podmiotowa z budżetu dla pozostałych jednostek sektora finansów publicznych</t>
  </si>
  <si>
    <t>2580</t>
  </si>
  <si>
    <t>Dotacja podmiotowa z budżetu dla jednostek niezaliczanych do sektora finansów publicznych</t>
  </si>
  <si>
    <t>RP GR</t>
  </si>
  <si>
    <t>Wpływy ze zwrotów niewykorzystanych dotacji oraz płatności</t>
  </si>
  <si>
    <t>Edukacyjna opieka wychowawcza</t>
  </si>
  <si>
    <t>85410</t>
  </si>
  <si>
    <t>85417</t>
  </si>
  <si>
    <t xml:space="preserve">dotacje na zadania bieżące </t>
  </si>
  <si>
    <t>Rodzina</t>
  </si>
  <si>
    <t>85503</t>
  </si>
  <si>
    <t>Karta Dużej Rodziny</t>
  </si>
  <si>
    <t>85504</t>
  </si>
  <si>
    <t>Opłaty na rzecz budżetów jednostek budżetowych</t>
  </si>
  <si>
    <t>Gospodarka komunalna i ochrona środowiska</t>
  </si>
  <si>
    <t>OS</t>
  </si>
  <si>
    <t>90007</t>
  </si>
  <si>
    <t>90008</t>
  </si>
  <si>
    <t>Ochrona różnorodności biologiczneji krajobrazu</t>
  </si>
  <si>
    <t>90015</t>
  </si>
  <si>
    <t>Pozostałe działania związane z gospodarką odpadami</t>
  </si>
  <si>
    <t>Kultura i ochrona dziedzictwa narodowego</t>
  </si>
  <si>
    <t>92106</t>
  </si>
  <si>
    <t xml:space="preserve">Teatry </t>
  </si>
  <si>
    <t>Dotacja podmiotowa z budżetu dla samorządowej instytucji kultury</t>
  </si>
  <si>
    <t>92108</t>
  </si>
  <si>
    <t>92109</t>
  </si>
  <si>
    <t>6229</t>
  </si>
  <si>
    <t>92110</t>
  </si>
  <si>
    <t>Galerie i biura wystaw artystycznych</t>
  </si>
  <si>
    <t>92114</t>
  </si>
  <si>
    <t>Pozostałe instytucje kultury</t>
  </si>
  <si>
    <t>2720</t>
  </si>
  <si>
    <t>Dotacje celowe z budżetu na finansowanie lub dofinansowanie prac remontowych i konserwatorskich obiektów zabytkowych przekazane jednostkom niezaliczanym do sektora finansów publicznych</t>
  </si>
  <si>
    <t>2730</t>
  </si>
  <si>
    <t>Dotacje celowe otrzymane z budżetu przez użytkowników zabytków niebędących jednostkami budżetowymi na finansowanie i dofinansowanie prac remontowych i konserwatorskich przy tych zabytkach</t>
  </si>
  <si>
    <t>6570</t>
  </si>
  <si>
    <t>Dotacja celowa przekazana z budżetu na finansowanie lub dofinansowanie zadań inwestycyjnych obiektów zabytkowych jednostkom niezaliczanym do sektora finansów publicznych</t>
  </si>
  <si>
    <t>92195</t>
  </si>
  <si>
    <t>925</t>
  </si>
  <si>
    <t>Ogrody botaniczne i zoologiczne oraz naturalne obszary i obiekty chronionej przyrody</t>
  </si>
  <si>
    <t>92502</t>
  </si>
  <si>
    <t>92595</t>
  </si>
  <si>
    <t>Kultura fizyczna</t>
  </si>
  <si>
    <t>92601</t>
  </si>
  <si>
    <t>2820</t>
  </si>
  <si>
    <t>Dotacja celowa z budżetu na finansowanie lub dofinansowanie zadań zleconych do realizacji stowarzyszeniom</t>
  </si>
  <si>
    <t>6190</t>
  </si>
  <si>
    <t>Dotacja celowa z budżetu jednostki samorządu terytorialnego, udzielona w trybie art. 221 ustawy, na dofinansowanie inwestycji w ramach zadań zleconych do realizacji organizacjom prowadzącym działalność pożytku publicznego</t>
  </si>
  <si>
    <t>Razem: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</si>
  <si>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</si>
  <si>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</si>
  <si>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</si>
  <si>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</si>
  <si>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</si>
  <si>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</si>
  <si>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</si>
  <si>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</si>
  <si>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</si>
  <si>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</si>
  <si>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</si>
  <si>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</si>
  <si>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</si>
  <si>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</si>
  <si>
    <t xml:space="preserve">Wpływ od PKP S.A. refundacji kosztów poniesionych w ramach budowy zaplecza technicznego za rozbiórkę i utylizację piwnicy wraz z odsetkami  </t>
  </si>
  <si>
    <t>Wpływy z tytułu przedawnionych nadpłat opłat rocznych za wyłączenie z produkcji gruntów rolnych</t>
  </si>
  <si>
    <t>Odsetki od nieterminowych wpłat za dzierżawę, wieczyste użytkowanie nieruchomości stanowiących własność Województwa Podkarpackiego</t>
  </si>
  <si>
    <t>Zwrot wydatków poniesionych w 2022r. na zakup lokali mieszkalnych</t>
  </si>
  <si>
    <t>Zwrot części opłaty sądowej</t>
  </si>
  <si>
    <t xml:space="preserve">Środki pochodzące z budżetu Unii Europejskiej na realizację projektu pn. „Cyfrowe Województwo” w ramach Programu Operacyjnego Polska cyfrowa na lata 2014-2020 </t>
  </si>
  <si>
    <t xml:space="preserve">Środki pochodzące z budżetu Unii Europejskiej jako refundacja wydatków poniesionych ze środków własnych na realizację projektu pn. „Cyfrowe Województwo” w ramach Programu Operacyjnego Polska cyfrowa na lata 2014-2020 </t>
  </si>
  <si>
    <t>Dotacja otrzymana z Narodowego Funduszu Ochrony Środowiska i Gospodarki Wodnej w Warszawie</t>
  </si>
  <si>
    <t>Zwrot podatku VAT</t>
  </si>
  <si>
    <t>Wpływy z rozliczeń z lat ubiegłych z tytułu zwrotu nadpłaconych wydatków poniesionych na realizację projektu pn. „Wysokie standardy obsługi inwestora w samorządach województwa podkarpackiego” w ramach Programu Operacyjnego Wiedza Edukacja Rozwój na lata 2014-2020</t>
  </si>
  <si>
    <t>Zwrot części niewykorzystanej dotacji przez Partnera projektu  pn. „Wysokie standardy obsługi inwestora w samorządach województwa podkarpackiego” w ramach Programu Operacyjnego Wiedza Edukacja Rozwój na lata 2014-2020</t>
  </si>
  <si>
    <t>Środki pochodzące z budżetu Unii Europejskiej na realizację projektu pn. „Punkty Informacyjne Funduszy Europejskich - PPT FE” w ramach Programu Pomoc Techniczna dla Funduszy Europejskich 2021 - 2027</t>
  </si>
  <si>
    <t>Zwrot części niewykorzystanych dotacji przez Partnerów projektu pn. „Zintegrowany i uspołeczniony model planowania przestrzennego poprzez opracowanie Strategii Przestrzennej Rzeszowskiego Obszaru Funkcjonalnego" w ramach Programu Operacyjnego Wiedza, Edukacja, Rozwój na lata 2014-2020</t>
  </si>
  <si>
    <t>Środki pochodzące z budżetu Unii Europejskiej na realizację projektu pn. „Skuteczne wdrożenie programu ochrony powietrza dla województwa podkarpackiego z uwzględnieniem problemu ubóstwa energetycznego: "Podkarpackie - żyj i oddychaj" (LIFE Podkarpackie) w ramach Instrumentu finansowego LIFE</t>
  </si>
  <si>
    <t>Zwrotu środków przez samodzielny publiczny zakład opieki zdrowotnej  otrzymanych na organizowanie, finansowanie oraz zapewnienie warunków odbywania stażu podyplomowego dla absolwentów studiów lekarskich i lekarsko-dentystycznych</t>
  </si>
  <si>
    <t>Zwrot stypendium udzielonego w ramach programu „Nie zagubić talentu” wraz z odsetkami</t>
  </si>
  <si>
    <t>Środki pochodzące z budżetu Unii Europejskiej na realizację projektu pn. "Podkarpacie Uczy Cyfrowo IV" w ramach Programu Operacyjnego Polska Cyfrowa na lata 2014-2020</t>
  </si>
  <si>
    <t>Dotacja celowa z budżetu państwa na realizację projektu pn. "Podkarpacie Uczy Cyfrowo IV" w ramach Programu Operacyjnego Polska Cyfrowa na lata 2014-2020</t>
  </si>
  <si>
    <t>Środki pochodzące z budżetu Unii Europejskiej na realizację projektu pn. "Cyfrowy i mobilny nauczyciel to ja" w ramach Programu Operacyjnego Wiedza Edukacja Rozwój 2014-2020</t>
  </si>
  <si>
    <t>Dotacja celowa z budżetu państwa na realizację projektu pn. "Cyfrowy i mobilny nauczyciel to ja" w ramach Programu Operacyjnego Wiedza Edukacja Rozwój 2014-2020</t>
  </si>
  <si>
    <t>Środki pochodzące z budżetu Unii Europejskiej na realizację projektu pn. "Zrównoważona żywność – od produkcji do konsumpcji" w ramach Programu Erasmus+</t>
  </si>
  <si>
    <t>Środki pochodzące z budżetu Unii Europejskiej na realizację projektu pn. "Projekt akredytowany – nr projektu 2023-1-PL01-KA121-SCH-000118667" w ramach Programu Erasmus+</t>
  </si>
  <si>
    <t>Środki pochodzące z budżetu Unii Europejskiej na realizację projektu pn. "Projekt akredytowany - nr 2022-1-PL01-KA121-SCH-000062408 w ramach Programu ERASMUS+" w ramach Programu Erasmus+</t>
  </si>
  <si>
    <t xml:space="preserve">Zwrot od operatora kolejowego nadpłaty wynikającej z rocznego rozliczenia rekompensaty za 2022 r. </t>
  </si>
  <si>
    <t xml:space="preserve">Wpływ kar umownych za: niedotrzymanie współczynnika niezawodności (Wn) pojazdu szynowego, niedotrzymanie współczynnika gotowości technicznej (Wu) oraz odwołanie pociągów przez przewoźnika wraz z odsetkami </t>
  </si>
  <si>
    <t>Odsetki od nieterminowej wpłaty odszkodowania za przejęcie nieruchomości</t>
  </si>
  <si>
    <t>Programy regionalne 2021-2027 finansowane z udziałem środków Europejskiego Funduszu Społecznego Plus</t>
  </si>
  <si>
    <t>Środki pochodzące z budżetu Unii Europejskiej na realizację projektów własnych w ramach programu regionalnego Fundusze Europejskie dla Podkarpacia 2021-2027</t>
  </si>
  <si>
    <t>Dotacja celowa z budżetu państwa na współfinansowanie projektów własnych i realizowanych przez beneficjentów w ramach programu regionalnego Fundusze Europejskie dla Podkarpacia 2021-2027</t>
  </si>
  <si>
    <t>Dotacja celowa z budżetu państwa na współfinansowanie projektów własnych w ramach programu regionalnego Fundusze Europejskie dla Podkarpacia 2021-2027</t>
  </si>
  <si>
    <r>
      <t xml:space="preserve">Zwrot części dotacji wykorzystanych niezgodnie z przeznaczeniem, pobranych nienależnie lub w nadmiernej wysokości przez beneficjentów projektów realizowanych w ramach Programu Operacyjnego Kapitał Ludzki          </t>
    </r>
    <r>
      <rPr>
        <u/>
        <sz val="10"/>
        <rFont val="Arial"/>
        <family val="2"/>
        <charset val="238"/>
      </rPr>
      <t xml:space="preserve">  </t>
    </r>
  </si>
  <si>
    <t>Środki pochodzące z budżetu Unii Europejskiej jako refundacja wydatków poniesionych ze środków własnych na realizację projektu pn. "Podkarpacie Uczy Cyfrowo III" w ramach Programu Operacyjnego Polska Cyfrowa na lata 2014-2020</t>
  </si>
  <si>
    <t>Dotacja celowa z budżetu państwa jako refundacja wydatków poniesionych ze środków własnych na realizację projektu pn. "Podkarpacie Uczy Cyfrowo III" w ramach Programu Operacyjnego Polska Cyfrowa na lata 2014-2020</t>
  </si>
  <si>
    <t>Środki pochodzące z budżetu Unii Europejskiej na realizację projektu pn. "Wsparcie rozwoju nowoczesnego kształcenia zawodowego, szkolnictwa wyższego oraz uczenia się przez całe życie" w ramach Krajowego Planu Odbudowy i Zwiększania Odporności</t>
  </si>
  <si>
    <t>Środki pochodzące z budżetu Unii Europejskiej jako refundacja wydatków poniesionych ze środków własnych na realizację projektu pn."Przygotowanie dokumentacji technicznej i projektowej niezbędnej do rozbudowy sieci turystycznych tras rowerowych na terenie Bieszczad i włączenie ich do szlaku rowerowego Green Velo" w ramach Programu Operacyjnego Pomoc Techniczna 2014-2020</t>
  </si>
  <si>
    <t>Dotacja celowa z budżetu państwa jako refundacja wydatków poniesionych ze środków własnych na realizację projektu pn. "Przygotowanie dokumentacji technicznej i projektowej niezbędnej do rozbudowy sieci turystycznych tras rowerowych na terenie Bieszczad i włączenie ich do szlaku rowerowego Green Velo" w ramach Programu Operacyjnego Pomoc Techniczna 2014-2020</t>
  </si>
  <si>
    <t>Wpływy z tytułu kar umownych za nieterminowe wykonanie przedmiotu umowy wraz z odsetkami</t>
  </si>
  <si>
    <t>Środki z Funduszu Przeciwdziałania COVID-19 na finansowanie lub dofinansowanie kosztów realizacji inwestycji i zakupów inwestycyjnych związanych z przeciwdziałaniem COVID-19</t>
  </si>
  <si>
    <t xml:space="preserve">Wpływy z tytułu kar umownych za nieterminowe wykonanie przedmiotu umowy </t>
  </si>
  <si>
    <t>Wpływu z tytułu wadium w związku z niepodpisaniem umowy przez wybranego w postepowaniu przetargowym oferenta</t>
  </si>
  <si>
    <t xml:space="preserve">Dochody realizowane przez Podkarpacki Zarząd Dróg Wojewódzkich w Rzeszowie </t>
  </si>
  <si>
    <t>Dochody realizowane przez Wojewódzki Ośrodek Dokumentacji Geodezyjnej i Kartograficznej w Rzeszowie</t>
  </si>
  <si>
    <t>Środki na dofinansowanie własnych inwestycji gmin, powiatów (związków gmin, związków powiatowo-gminnych, związków powiatów), samorządów województw, pozyskane z innych źródeł (Rządowy Fundusz Rozwoju Dróg</t>
  </si>
  <si>
    <t>6258</t>
  </si>
  <si>
    <t xml:space="preserve">Środki otrzymane z Państwowego Funduszu Rehabilitacji Osób Niepełnosprawnych z przeznaczeniem na realizację projektu „Dostępny ROPS” </t>
  </si>
  <si>
    <t xml:space="preserve">Zwrot części dotacji pobranej w nadmiernej wysokości przez organizację pozarządową na dofinansowanie zadań realizowanych z udziałem środków zewnętrznych </t>
  </si>
  <si>
    <t>Zwrot części dotacji wykorzystanych niezgodnie z przeznaczeniem, pobranych nienależnie lub w nadmiernej wysokości na realizację zadań z zakresu kultury</t>
  </si>
  <si>
    <t xml:space="preserve">Zwrot przez instytucje kultury części niewykorzystanych dotacji </t>
  </si>
  <si>
    <t>Zwrot przez instytucje kultury części niewykorzystanych dotacji</t>
  </si>
  <si>
    <t>Zwrot przez instytucje kultury części dotacji  wykorzystanych niezgodnie z przeznaczeniem, pobranych nienależnie lub w nadmiernej wysokości</t>
  </si>
  <si>
    <t xml:space="preserve">Zwrot przez instytucje kultury cześci niewykorzystanych dotacji </t>
  </si>
  <si>
    <t xml:space="preserve">Dotacja celowa dla Gminy Kolbuszowa na realizację powierzonego zadania pn. "Opracowanie dokumentacji rozbudowy drogi wojewódzkiej nr 875 Mielec – Kolbuszowa - Sokołów Małopolski - Leżajsk polegającej na budowie mostu w km 25+968 wraz z rozbudową dojazdów oraz rozbiórką, budową i przebudową infrastruktury technicznej, budowli i urządzeń budowlanych w m. Kolbuszowa Dolna". Wydatki nie zostały zrealizowane w 2023r.  </t>
  </si>
  <si>
    <t xml:space="preserve">Dotacja celowa dla Gminy Miasta Rzeszów na realizację powierzonego zadania pn. „Budowa DW w Rzeszowie na odcinku od ul. Warszawskiej do ul. Krakowskiej - połączenie DK 97 z DK 94" w ramach zadania inwestycyjnego pn. „Budowa drogi wraz z wiaduktem (nad ul. Warszawską i torami kolejowymi) od ul. Warszawskiej do ul. Krakowskiej”. Wydatki nie zostały zrealizowane w 2023r.  </t>
  </si>
  <si>
    <t xml:space="preserve">Dotacja celowa dla Gminy Czarna na realizację powierzonego zadania pn. „Rozbudowa drogi wojewódzkiej Nr 881 Sokołów Młp. – Łańcut – Kańczuga – Żurawica od km 19+889,00 do km 20+088,09 wraz z niezbędną infrastrukturą techniczną w m. Krzemienica”. </t>
  </si>
  <si>
    <t xml:space="preserve">Dotacja celowa dla Gminy Lubaczów  na realizację powierzonego zadania pn. „Doznakowanie przejść dla pieszych w ciągu DW Nr 866 i DW Nr 867 na trenie Gminy Lubaczów”. </t>
  </si>
  <si>
    <r>
      <t>Dotacje celowe dla gmin z przeznaczeniem na realizację powierzonego zadania pn. „Dofinansowanie zadań poprawiających stan techniczny oraz bezpieczeństwo ruchu na drogach wojewódzkich, realizowanych przez Gminy na terenie Województwa Podkarpackiego w ramach Rządowego Funduszu Polski Ład: Program Inwestycji Strategicznych oraz Funduszu Przeciwdziałania COVID-19”, w tym  dla:
1) Gminy Rymanów na zadanie pn. „Budowa chodników przy drodze wojewódzkiej nr 887 w m. Rymanów Zdrój i w m. Ladzin” - 680.822,00 zł,
2) Gminy Wojaszówka na zadanie pn. „Poprawa bezpieczeństwa na drodze wojewódzkiej nr 990 Twierdza – Krosno poprzez budowę, przebudowę drogi na terenie Gminy Wojaszówka" - 189.896,32 zł,
3) Gminy Wielopole Skrzyńskie na zadanie pn. „Poprawa bezpieczeństwa pieszych w Gminie Wielopole Skrzyńskie poprzez budowę oświetlonych chodników przy drodze wojewódzkiej Nr 986 Tuszyma – Ropczyce – Wiśniowa" - 1.063.059,00 zł,
4) Gminy Radomyśl nad Sanem na zadanie pn. „Budowa chodników i ciągów pieszo – rowerowych przy drogach wojewódzkich na terenie Gminy Radomyśl nad Sanem" -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260.000,00 zł,
5) Gminy Wiśniowa na zadanie pn. "Poprawa bezpieczeństwa pieszych poprzez budowę chodników przy drogach wojewódzkich na terenie Gminy Wiśniowa" - 251.820,49 zł,
6) Gminy Bojanów na zadanie pn. "Budowa chodnika w ciągu drogi wojewódzkiej nr 861 Bojanów – Kopki w km 2+820 do km 4+320 w miejscowości Korabina" - 5.000,00 zł,
7) Gminy Jeżowe na zadanie pn. "Budowa ciągu pieszo – rowerowego przy drodze wojewódzkiej nr 861 w msc. Jeżowe Kameralne" - 100.000,00 zł,
8) Gminy Nozdrzec na zadanie pn. "Przebudowa drogi wojewódzkiej Nr 835 Lublin – Grabownica Starzeńska polegająca na budowie chodnika w miejscowości Nozdrzec" - 105.000,00 zł.</t>
    </r>
  </si>
  <si>
    <t>Dotacja celowa na pomoc finansową dla Powiatu Niżańskiego z przeznaczeniem na realizację zadania pn.: „Przebudowa drogi powiatowej DW 878 - do węzła S-19 Rudnik nad Sanem".</t>
  </si>
  <si>
    <t>Dotacje celowe na pomoc finansową dla Powiatu Rzeszowskiego z przeznaczeniem na realizację zadań pn.: 
1) „Rozbudowa łącznika drogi ekspresowej S-19 – drogi powiatowej na odcinku od węzła Rzeszów–Południe do drogi krajowej Nr 19 – etap I” - 850.925,07 zł,
2) „Rozbudowa łącznika autostrady A4 na odcinku od granicy miasta Rzeszowa do węzła Rzeszów – Północ – etap I” - 210.000,00 zł.</t>
  </si>
  <si>
    <t xml:space="preserve">Dotacja celowa na pomoc finansową dla Powiatu Mieleckiego z przeznaczeniem na realizację zadania pn. „Rozbudowa drogi powiatowej - dawnej drogi wojewódzkiej nr 984 od km 37+200,00 w zakresie skrzyżowania z drogą powiatową Nr 1 152R Borowa - Wola Mielecka - Przecław 
w km 37+075,00 w m. Wola Mielecka". </t>
  </si>
  <si>
    <t>Dotacja celowa na pomoc finansową dla Powiatu Krośnieńskiego z przeznaczeniem na opracowanie dokumentacji technicznej na budowę drogi publicznej relacji Potok-Jedlicze.</t>
  </si>
  <si>
    <t>Dotacja celowa na pomoc finansową dla Gminy Nozdrzec z przeznaczeniem na realizację zadania pn.: „Remont obiektów mostowych w ciągu drogi gminnej nr 115955R Wesoła - Magierów".</t>
  </si>
  <si>
    <t>Dotacja celowa na pomoc finansową dla  Gminy Strzyżów z przeznaczeniem na realizację zadania pn.: „Budowa interaktywnego przejścia dla pieszych w ramach przebudowy ul. Witosa prowadzącej do przystanku kolejowego Strzyżów nad Wisłokiem" w ramach projektu pn. "Wojewódzki Fundusz Kolejowy".</t>
  </si>
  <si>
    <t>Dotacja celowa na pomoc finansową dla Gminy Solina z przeznaczeniem na realizację zadania pn.: „Budowa kładki rowerowo - pieszej nad Jeziorem Solińskim".</t>
  </si>
  <si>
    <t>Dotacja celowa na pomoc finansową dla  Gminy Markowa z przeznaczeniem na realizację zadania pn.: „Przebudowa drogi gminnej na działce nr ewid. 1663 w km 1+045 - 1+122".</t>
  </si>
  <si>
    <t>Dotacja celowa na pomoc finansową dla  Gminy Laszki z przeznaczeniem na realizację zadania pn.: „Przebudowa drogi gminnej Laszki- Charytany".</t>
  </si>
  <si>
    <t>Dotacja celowa na pomoc finansową dla  Gminy Laszki z przeznaczeniem na realizację zadania pn.: „Przebudowa drogi gminnej Laszki – Kozły".</t>
  </si>
  <si>
    <t>Dotacja celowa na pomoc finansową dla Gminy Lutowiska z przeznaczeniem na realizację zadania pn. „Remont drogi wewnętrznej do Bacówki pod Małą Rawką".</t>
  </si>
  <si>
    <t>Dotacja celowa na pomoc finansową dla Gminy Kołaczyce z przeznaczeniem na realizację zadania pn. „Oczyszczanie i odmulanie rowów przy drogach gminnych w Lublicy” w ramach „Podkarpackiego Programu Odnowy Wsi na lata 2021-2025".</t>
  </si>
  <si>
    <t>Dotacja celowa na pomoc finansową dla Gminy Laszki z przeznaczeniem na realizację zadania pn. „Przebudowa drogi wewnętrznej Laszki – Lotnisko".</t>
  </si>
  <si>
    <t>Dotacje celowe na pomoc finansową dla gmin w ramach „Podkarpackiego Programu Odnowy Wsi na lata 2021-2025”, w tym dla:
1) Gminy Błażowa  na zadanie pn. „Przebudowa ogrodzenia wraz z zagospodarowaniem i urządzeniem terenów zielonych” - 12.000,00 zł,
2) Gminy Korczowa na zadanie pn. „Modernizacja placu zabaw przy Szkole Podstawowej w Komborni” - 12.000,00 zł.</t>
  </si>
  <si>
    <t xml:space="preserve">Dotacja celowa na pomoc finansową dla Gminy Olszanica na zadanie pn. „Budowa wieloetapowego kompleksu rekreacyjnego dla najmłodszych mieszkańców miejscowości poprzez wybudowanie placu zabaw - etap I” w ramach „Podkarpackiego Programu Odnowy Wsi na lata 2021-2025”. </t>
  </si>
  <si>
    <t>Dotacja celowa na pomoc finansową dla Powiatu Lubaczowskiego na remont i wyposażenie pracowni gastronomicznej w Szkole Branżowej I stopnia w Młodzieżowym Ośrodku Wychowawczym w Lubaczowie.</t>
  </si>
  <si>
    <t>Dotacje celowe na pomoc finansową  dla gmin w ramach „Podkarpackiego Programu Odnowy Wsi na lata 2021-2025", w tym dla:
1) Gminy Rokietnica na zadanie pn. „Hop-sasa" - Budowa nowego placu zabaw w Rokietnicy” - 12.000,00 zł,
2) Gminy Frysztak na zadanie pn. „Budowa strefy relaksu dla dzieci i młodzieży” - 12.000,00 zł,
3) Gminy Zagórz na zadanie pn. „Urządzenie miejsca wypoczynku i rekreacji dla mieszkańców i turystów na Osiedlu Ochodec - budowa boiska” - 12.000,00 zł,
4) Gminy Laszki na zadanie pn. „Budowa oświetlenia boiska sportowego w miejscowości Tuchla (wraz z opracowaniem dokumentacji technicznej)” - 12.000,00 zł,
5) Gminy Grodzisko Dolne na zadanie pn. „Poprawa funkcjonalności stadionu sportowego poprzez budowę piłkochwytów” - 12.000,00 zł.</t>
  </si>
  <si>
    <t>Dotacje celowe na pomoc finansową dla gmin w ramach „Podkarpackiego Programu Odnowy Wsi na lata 2021-2025", w tym dla:
1) Gminy Rakszawa na zadanie pn. „Wzrost aktywności lokalnej Sołectwa Rakszawa Dolna poprzez modernizację placu zabaw” - 12.000,00 zł,
2) Gminy Lubenia na zadanie pn. „Zagospodarowanie przestrzenie publicznej w Sołonce na cele społeczne poprzez budowę wiaty na potrzeby lokalnej społeczności wraz z ułożeniem kostki brukowej pod wiatą i wokół nie” - 12.000,00 zł,
3) Gminy Brzozów na zadanie pn. „Budowa trybuny na stadionie LKS Płomień Zmiennica” - 12.000,00 zł,
4) Gminy Chmielnik na zadanie pn. „Modernizacja Wiaty Widowiskowej przy boisku sportowym w Chmielniku” - 12.000,00 zł.</t>
  </si>
  <si>
    <t>2700</t>
  </si>
  <si>
    <t xml:space="preserve">Środki pochodzące z budżetu Unii Europejskiej jako refundacja wydatków poniesionych ze środków własnych na realizację projektu pn. OSS - One Stop Shop towards comptetive SMEs, focusing on the ecosystem for the first line ervice system” (OSS - One Stop Shop dla konkurencyjnych MŚP, koncentrujący się na ekosystemie dla systemu usług  pierwszej linii) </t>
  </si>
  <si>
    <t>Środki z Funduszu Pomocy na finansowanie lub dofinansowanie zadań bieżących w zakresie pomocy obywatelom Ukrainy</t>
  </si>
  <si>
    <t>Zestawienie wykonania planu dochodów gromadzonych na wyodrębnionym rachunku 
przez wojewódzkie oświatowe jednostki budżetowe, oraz wydatków nimi finansowanych</t>
  </si>
  <si>
    <t>Lp.</t>
  </si>
  <si>
    <t>Nazwa  jednostki</t>
  </si>
  <si>
    <t>Plan</t>
  </si>
  <si>
    <t xml:space="preserve">Zespół Szkół przy Klinicznym Szpitalu Wojewódzkim Nr 2 
w Rzeszowie                 </t>
  </si>
  <si>
    <t xml:space="preserve">Zespół Szkół Specjalnych w Rymanowie Zdroju  </t>
  </si>
  <si>
    <t>Medyczno - Społeczne Centrum Kształcenia Zawodowego 
i Ustawicznego w  Przemyślu</t>
  </si>
  <si>
    <t>Medyczno - Społeczne Centrum Kształcenia Zawodowego 
i Ustawicznego w  Jaśle</t>
  </si>
  <si>
    <t>Medyczno - Społeczne Centrum Kształcenia Zawodowego 
i Ustawicznego  w  Sanoku</t>
  </si>
  <si>
    <t>Medyczno - Społeczne Centrum Kształcenia Zawodowego 
i Ustawicznego  w  Mielcu</t>
  </si>
  <si>
    <t>Medyczno - Społeczne Centrum Kształcenia Zawodowego 
i Ustawicznego  w  Rzeszowie</t>
  </si>
  <si>
    <t>Podkarpacki Zespół Placówek Wojewódzkich w Rzeszowie</t>
  </si>
  <si>
    <t>RAZEM</t>
  </si>
  <si>
    <t>Oświetlenie ulic, placów i dróg</t>
  </si>
  <si>
    <t>Dotacja celowa na pomoc finansową dla Gminy Żurawica 
na realizację zadania pn. „Budowa oświetlenia ulicznego w m. Orzechowce, w pasie drogowym drogi wojewódzkiej nr 881 Sokołów Małopolski - Łańcut - Kańczuga - Pruchnik - Żurawica od km 72+454 do km 72+547 na działce ewidencyjnej nr 845 obręb 0007 Orzechowce jedn.ewid.181310_2 Żurawica".</t>
  </si>
  <si>
    <t>Dotacje celowe otrzymane z powiatów z przeznaczeniem na prowadzenie regionalnych placówek opiekuńczo - terapeutycznych na terenie województwa podkarpackiego, w tym z:
-Powiatu Jarosławskiego - 35.227,68 zł          
-Powiatu Inowrocławskiego-204.329,32 zł 
-Powiatu Zielonogórskiego-98.613,28 zł        
-Gminy Siemianowice Śląskie-222.402,04 zł
-Powiatu Gliwickiego-217.669,55 zł           
-Powiatu Grodziskiego-306.493,98 zł          
-Powiatu Polkowickiego-62.675,50 zł               
-Powiatu Nowosolskiego-102.164,66 zł                  
-Powiatu Drawskiego-102.164,66 zł                    
-Powiatu Hrubieszowskiego-101.596,35 zł                     
-Powiatu Chodzieskiego-189.949,64 zł                  
-Miasta Lublin-749.494,34 zł      
-Miasta Tychy-102.164,66 zł   
-Powiatu Żyrardowskiego-204.329,32 zł   
-Powiatu Strzyżowskiego-102.164,66 zł
-Powiatu Kamieńskiego-80.966,82 zł
-Powiatu Lubaczowskiego-113.611,90 zł            
-Powiatu Pruszkowskiego	-227.223,80 zł     
-Miasta Łódź-18.463,28 zł                  
-Powiatu Pilskiego-340.835,70 zł        
-Powiatu Kluczborskiego-113.611,90 zł                      
-Powiatu Niżańskiego-87.436,31 zł                        
-Powiatu Rzeszowskiego-454.447,60 zł  
-Powiatu Leżajskiego-227.223,80 zł              
-Miasta Bydgoszcz	-113.611,90 zł                               
-Powiatu Radzyńskiego-113.611,90 zł                        
-Powiatu Tomaszowskiego-157.645,62 zł
-Powiatu Strzeleckiego-104.361,28 zł  
-Powiatu Przemyskiego-227.223,80 zł
-Powiatu Stalowowolskiego-87.336,08 zł
-Miasta Płock-14.664,63 zł</t>
  </si>
  <si>
    <r>
      <rPr>
        <b/>
        <sz val="10"/>
        <rFont val="Arial"/>
        <family val="2"/>
        <charset val="238"/>
      </rPr>
      <t xml:space="preserve">II. WYDATKI </t>
    </r>
    <r>
      <rPr>
        <i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</si>
  <si>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Dotacje celowe dla gmin z przeznaczeniem na modernizację dróg dojazdowych do gruntów rolnych oraz renowację zbiorników wodnych służących małej retencji.</t>
  </si>
  <si>
    <t>Dotacje celowe na pomoc finansową dla gmin w ramach „Podkarpackiego Programu Odnowy Wsi na lata 2021-2025”, w tym dla:
1) Gminy Bircza na zadanie pn. „Uporządkowanie i zagospodarowanie ogólnodostępnej przestrzeni publicznej poprzez utworzenie miejsca rekreacji w sołectwie Rudawka – etap II” – 12.000,00 zł,
2) Gminy Wiśniowa na zadanie pn. „Budowa oświetlenia solarnego na obszarze parku przy Domu Kultury w Markuszowej, remont pomieszczeń w Domu Kultury wraz z organizacją Pikniku Rodzinnego” – 12.000,00 zł,
3) Gminy Fredropol na zadanie pn. „Adaptacja pomieszczenia na potrzeby świetlicy wiejskiej w Kupiatyczach – etap III” – 12.000,00 zł,
4) Gminy Krasiczyn na zadanie pn. „Zagospodarowanie terenu wokół świetlicy wiejskiej poprzez wykonanie ogrodzenia, wiaty grillowej, zakup kosiarek oraz wyposażenia świetlicy wiejskiej” – 12.000,00 zł,
5) Gminy Przemyśl na zadanie pn. „Budowa Placu Zabaw wraz z siłownią zewnętrzną na terenie działki 298/2 i 299/1 – ETAP III – Zakup wyposażenia” – 12.000,00 zł,
6) Gminy Tryńcza na zadani pn. „Zakup nowego wyposażenia do Wiejskiego Domu Kultury w Gorzycach oraz organizacja spotkania kulturalno-kulinarnego” – 12.000,00 zł,
7) Gminy Nozdrzec na zadanie pn. „Wymiana stolarki okiennej i drzwi, remont wejścia do budynku KGW Weselanka” – 12.000,00 zł,
8) Gminy  Żurawica na zadanie pn. „Zakup wyposażenia wraz z remontem pomieszczeń „Agronomówki” i budynku OSP oraz zagospodarowanie miejsc rekreacji w Maćkowicach” – 12.000,00 zł,
9) Gmina Jarosław na zadanie pn. „ pn. „Zagospodarowanie terenu w centrum wsi na cele rekreacyjno-wypoczynkowe poprzez zakup urządzeń siłowni zewnętrznej oraz oczyszczenie oczka wodnego i terenu wokół” – 12.000,00 zł,
10) Gminy Brzostek na zadanie pn. „Integracyjny Piknik Rodzinny w Kleciach” – 5.809,00 zł,
11) Gminy Gorzyce na zadanie pn. „Poprawa jakości życia mieszkańców poprzez renowację i doposażenie placu zabaw przy ul. Pączek Gorzycki w miejscowości Gorzyce” – 9.500,00 zł,
12) Gminy Rokietnica na zadanie pn. „Organizacja szkoleń w Świetlicy Wiejskiej w Rokietnicy w ramach koncepcji „Uniwersytet Samorządności” – 15.000,00 zł,
13) Miasta i Gminy Kańczuga na zadanie pn. „Ogólnodostępne, bezpłatne szkolenia i warsztaty dla mieszkańców powiatu przeworskiego w ramach koncepcji „Uniwersytet Samorządności” – 15.000,00 zł.</t>
  </si>
  <si>
    <t>Dotacja celowa na pomoc finansową dla Gminy Markowa na realizacje zadań:
1) utwardzenie powierzchni gruntu na działce nr ewid. 1659/2 – 430.000,00 zł,
2) utwardzenie powierzchni gruntu na działkach nr ewid. 1687/3, 1686/2, 1686/1, 1685, 1678 – 400.000,00 zł.</t>
  </si>
  <si>
    <t>Dotacje celowe na pomoc finansową dla gmin w ramach „Podkarpackiego Programu Odnowy Wsi na lata 2021-2025”, w tym dla:
1) Gminy Narol na zadanie pn. „Zagospodarowanie przestrzeni publicznej poprzez modernizację boiska, nasadzenia zieleni i montaż małej architektury” – 11.349,00 zł,
2) Gminy Kańczuga na zadanie pn. „Modernizacja Sali w budynku remizy OSP w Lipniku w celu utworzenia miejsca spotkań, integracji mieszkańców i kultywowania tradycji” – 12.000,00 zł,
3) Gminy Besko na zadanie pn. „Budowa wiaty rowerowej w Besku” – 12.000,00 zł,
4) Gminy Roźwienica na zadanie pn. „Urządzenie ogólnodostępnej siłowni zewnętrznej” – 10.547,00 zł,
5) Gminy Przeworsk na zadanie pn. „Budowa ogrodzenia WDK w Gorliczynie” – 12.000,00 zł,
6) Gminy Cmolas na zadanie pn. „Wykonanie modernizacji wiat drewnianych oraz uporządkowanie i zagospodarowanie terenu ogródka integracyjnego w centrum wsi Ostrowy Tuszowskie” – 12.000,00 zł,
7) Gminy Dydnia na zadanie pn. „Zagospodarowanie terenu wokół Domu Ludowego w Krzywym poprzez budowę placu zabaw wraz z mała architekturą” – 12.000,00 zł,
8) Gminy Zarzecze na pn. „Zakup klimatyzatorów do wyposażenia świetlicy wiejskiej w Zalesiu” – 12.000,00 zł.</t>
  </si>
  <si>
    <t>Dotacje celowe na pomoc finansową dla gmin w ramach „Podkarpackiego Programu Odnowy Wsi na lata 2021-2025”, w tym dla: 
1) Gminy Kolbuszowa na zadanie pn. „Doposażenie kuchni w Domu Ludowym 
w Weryni” - 11.790,00 zł,
2) Gminy Trzebownisko na zadanie pn. „Warsztaty „Dekoracyjne inspiracje II” – cykl zajęć praktycznych na potrzeby realizacji II etapu koncepcji „Uniwersytet Samorządności” - 15.000,00 zł.</t>
  </si>
  <si>
    <t>Dotacje celowe na pomoc finansową dla Gminy Dydnia na zadanie pn. „Uniwersytet Samorządności" w Gminie Dydnia – organizacja bezpłatnych wykładów, warsztatów i zajęć praktycznych dla mieszkańców powiatu brzozowskiego” w ramach „Podkarpackiego Programu Odnowy Wsi na lata 2021-2025”.</t>
  </si>
  <si>
    <t>Dotacja celowa na pomoc finansową dla Gminy Świlcza na realizację zadania pn. „Przygotowanie studium uwarunkowań i kierunków zagospodarowania przestrzennego oraz miejscowego planu zagospodarowania przestrzennego niezbędnego do utworzenia strefy inwestycyjnej na terenie Gminy Świlcza”.</t>
  </si>
  <si>
    <t>Dotacje celowe na pomoc finansową dla gmin w ramach „Podkarpackiego Programu Odnowy Wsi na lata 2021-2025”, w tym dla:
1) Gminy Miejsce Piastowe na zadanie pn. „Poprawa estetyki centrum wsi Rogi” – 11.343,00 zł, 
2) Gminy Nowa Sarzyna na zadanie pn. „Utworzenie miejsca odpoczynku i zabawy w rejonie miejscowości Wola Zarczycka (Borki)" – etap I przygotowanie terenu” – 11.493,00 zł.</t>
  </si>
  <si>
    <t xml:space="preserve">Dotacja celowa na pomoc finansową dla Gminy  Sędziszów Małopolski na realizację zadania pn. „Ropczycko-Sędziszowski "Uniwersytet Samorządności" 2023 rok” w ramach „Podkarpackiego Programu Odnowy Wsi na lata 2021-2025”. </t>
  </si>
  <si>
    <t>Dotacja celowa na pomoc finansową dla Gminy Jaśliska na zadanie pn. "Modernizacja budynku OSP Posada Jaśliska w celu stworzenia świetlicy wiejskiej - etap III" w ramach „Podkarpackiego Programu Odnowy Wsi na lata 2021-2025”.</t>
  </si>
  <si>
    <t>Dotacja celowa dla Gminy Przeworsk – instytucji tworzącej Centrum Integracji Społecznej z siedzibą w Chałupkach z przeznaczeniem na zakup witryny chłodniczej.</t>
  </si>
  <si>
    <t>Dotacja celowa dla jednostki sektora finansów publicznych – Gminy Przeworsk – instytucji tworzącej Centrum Integracji Społecznej z siedzibą w Chałupkach z przeznaczeniem na zakup dmuchanych torów przeszkód.</t>
  </si>
  <si>
    <t xml:space="preserve">Dotacje celowe na pomoc finansową dla gmin w ramach „Podkarpackiego Programu Odnowy Wsi na lata 2021-2025”, w tym dla:
1) Gminy Dubiecko na zadanie pn. "Remont remizy OSP w Drohobyczce etap III poprzez remont sali wraz z komunikacją" - 12.000,00 zł,
2) Gminy Mielec na zadanie pn. "Zakup wyposażenia świetlicy wiejskiej w Chrząstowie" - 11.642,00 zł,
3) Gminy Krzeszów na zadanie pn. "Zagospodarowanie terenów przy altance obok remizy OSP w Łazowie poprzez remont ogrodzenia i elementy małej architektury" - 12.000,00 zł,
4) Gminy Hyżne na zadanie pn. "Remont i wyposażenie kuchni w Domu Strażaka w Dylągówce etap III" - 7.960,00 zł,
5) Gminy Ropczyce na zadanie pn. "Remont pomieszczeń budynku OSP w Małej" - 12.000,00 zł. </t>
  </si>
  <si>
    <t>Zwrot dotacji wykorzystanych niezgodnie z przeznaczeniem, pobranych nienależnie lub w nadmiernej wysokości przez organizacje pozarządowe realizujące zadania wynikające z Wojewódzkiego Programu na Rzecz Wyrównywania Szans Osób Niepełnosprawnych i Przeciwdziałania Ich Wykluczeniu Społecznemu na lata 2021-2030 oraz wpływ odsetek</t>
  </si>
  <si>
    <t>Pomoc finansowa udzielona przez:
1) jednostki samorządu terytorialnego w kwocie 7.699.933,11 zł z przeznaczeniem na:
a) budowę chodników przy drogach wojewódzkich w kwocie 6.410.650,97 zł,
b) przebudowy dróg wojewódzkich w kwocie 1.289.282,14 zł. 
Szczegółowy podział pomocy finansowej przedstawiono w objaśnieniach do wykonania wydatków rozdziału 60013.
2) Gminę Padew Narodowa w kwocie  29.472,69 zł z przeznaczeniem na realizację inwestycji pn. „Budowa wzbudzanej sygnalizacji świetlnej na przejściu dla pieszych w km 14+181 w m. Padew Narodowa”,
3) jednostki samorządu terytorialnego w kwocie 2.000.000,00 zł, w tym  przez:
 - Gminę Żołynia - 200.000,00 zł, 
 - Gminę Łańcut - 200.000,00 zł, 
 - Gminę Białobrzegi - 200.000,00 zł, 
 - Gminę Rakszawa - 200.000,00 zł, 
 - Powiat Łańcucki - 500.000,00 zł,
 - Gminę Czarna - 200.000,00 zł,
 - Miasto Łańcut - 500.000,00 zł),
z przeznaczeniem na realizację inwestycji pn. „Budowa wiaduktu kolejowego/tunelu drogowego w nowym śladzie drogi wojewódzkiej DW nr 877 w ul. Podzwierzyniec w Łańcucie w zamian za likwidację przejazdu kolejowo-drogowego kat. A km 174,744 linii kolejowej nr 91”,  
4) Gminę Solina w kwocie 647.152,17 zł z przeznaczeniem na realizację zadania pn.: „Przebudowa/rozbudowa DW 895 na odcinku Solina – Myczków”.</t>
  </si>
  <si>
    <t xml:space="preserve">Dotacja celowa na pomoc finansową dla Gminy Wiśniowa na zadanie pn.  Organizacja bezpłatnych wykładów i zajęć praktycznych w ramach „Podkarpackiego Programu Odnowy Wsi na lata 2021-2025 </t>
  </si>
  <si>
    <t>Dotacje celowe na pomoc finansową dla gmin w ramach „Podkarpackiego Programu Odnowy wsi na lata 2021 - 2025” w kwocie 191.663,00 zł, z tego dla:
a) Gmina Bukowsko na zadanie pn. Zagospodarowanie placu przy Domu Kultury w Nowotańcu – 12.000,00 zł,
b) Gmina Łańcut na zadanie pn. Zakup namiotów, krzeseł oraz stołów i ławek do organizacji "Imprezy z grzybkiem" oraz innych imprez plenerowych -  12.000,00 zł, 
c) Gmina Markowa na zadanie pn. "Utworzenie ścieżki dydaktycznej na terenie sołectwa Tarnawka - zakup i montaż tablic informacyjnych – 12.000,00 zł, 
d) Gmina Strzyżów na zadanie pn. Organizacja Święta Pieczonego Ziemniaka w Wysokiej Strzyżowskiej – 8.541,00 zł, 
e) Gmina Baranów Sandomierski na zadanie pn. Remont i doposażenie Domu Ludowego celem dostosowania dla potrzeb lokalnej społeczności, ugrupowań i stowarzyszeń w miejscowości Skopanie – 12.000,00 zł, 
f) Gmina Nowa Dęba na zadanie pn. Stworzenie strefy rekreacji i integracji mieszkańców sołectwa Rozalin poprzez zakup wyposażenia Domu Ludowego – 11.447,00 zł,
g) Gmina Lubaczów na zadanie pn. Doposażenie i ogrodzenie placu zabaw przy świetlicy wiejskiej w Opace – 11.904,00 zł, 
h) Gmina Raniżów na zadanie pn. Festyn dla mieszkańców "Zakończenie lata" w tle warsztaty kultury lasowiackiej – 10.084, 00 zł,
i) Gminy Żyraków na zadanie pn. Organizacja i przeprowadzenie 6 otwartych inicjatyw edukacyjnych w utworzonej Sali szkoleniowej w Budynku Wielofunkcyjnym w Wiewiórce – 15.000,00 zł, 
j) Gminy Kolbuszowa na zadanie pn. Eko warsztaty dla mieszkańców powiatu kolbuszowskiego – 15.000,00 zł, 
k) Gminy Kuryłówka na zadanie pn.  Przeprowadzenie warsztatów edukacyjnych dla mieszkańców powiatu leżajskiego – 13.839,00 zł, 
l) Gminy Łańcut na zadanie pn. "Teoria i praktyka" - otwarte i nieodpłatne inicjatywy edukacyjne dla mieszkańców powiatu łańcuckiego – 14.953,00 zł,
m) Gminy Mielec na zadanie pn. Przeprowadzenie w 2023 roku 6 inicjatyw edukacyjnych dla mieszkańców powiatu mieleckiego – 14.855,00 zł,
n) Gminy Bukowsko na zadanie pn. Inicjatywy edukacyjne "Uniwersytet Samorządności" w miejscowości Bukowsko dla mieszkańców powiatu sanockiego - edycja 2023 r. – 15.000,00 zł,  
o) Gminy Baranów Sandomierski na zadanie pn. Organizacja ogólnodostępnych zajęć dla mieszkańców powiatu tarnobrzeskiego – 13.040,00 zł,</t>
  </si>
  <si>
    <t xml:space="preserve">Składki na Fundusz Pracy oraz Fundusz Solidarnościowy </t>
  </si>
  <si>
    <t>cd.</t>
  </si>
  <si>
    <t>Zakup usług obejmujących wykonanie ekzpertyz, analiz i opinii</t>
  </si>
  <si>
    <t>Zwrot nadpłaty od PGNiG Obrót Detaliczny Sp. z o.o. za kompleksowe dostarczanie paliwa gazowego</t>
  </si>
  <si>
    <t xml:space="preserve">Zwrot przez Powiat Bieszczadzki i Gminę Leżajsk niewykorzystanej pomocy finansowej na wydatki związane z kryzysem uchodźczym spowodowanym wojną w Ukrainie </t>
  </si>
  <si>
    <t xml:space="preserve">Zwrot części niewykorzystanych dotacji oraz dotacji wykorzystanych niezgodnie z przeznaczeniem, pobranych niezależnie lub w nadmiernej wysokości na realizację zadań publicznych z zakresu ratownictwa górskiego </t>
  </si>
  <si>
    <t>Dotacja celowa z budżetu państwa jako refundacji wydatków poniesionych ze środków własnych na współfinansowanie wydatków objętych Pomocą Techniczną Programu Operacyjnego Rybactwo i Morze 2014-2020</t>
  </si>
  <si>
    <t>Dotacja celowa z budżetu państwa jako refundacji wydatków poniesionych ze środków własnych na finansowanie wydatków objętych Pomocą Techniczną Programu Operacyjnego Rybactwo i Morze 2014-2020</t>
  </si>
  <si>
    <t>Środki pochodzące z budżetu Unii Europejskiej jako refundacja wydatków poniesionych na realizację projektu pn. "Budowa Podmiejskiej Kolei Aglomeracyjnej - PKA": budowa zaplecza technicznego" w ramach Programu Operacyjnego Infrastruktura i Środowisko na lata 2014 - 2020</t>
  </si>
  <si>
    <t>Środki pochodzące z budżetu Unii Europejskiej na realizację projektu pn. „Rozbudowa DW 878 na odcinku od granicy miasta Rzeszowa (ul. Lubelska) do DW869”  w ramach Programu Operacyjnego Polska Wschodnia na lata 2014-2020</t>
  </si>
  <si>
    <t>Wpływy z tytułu integracji systemu informatycznego "Podkarpacki System Informacji Medycznej" jednostek medycznych z Regionalnym Centrum Informacji Medycznej - RCIM</t>
  </si>
  <si>
    <t>Odsetki od nieterminowych wpływów z tytułu integracji systemu informatycznego "Podkarpacki System Informacji Medycznej" jednostek medycznych z Regionalnym Centrum Informacji Medycznej - RCIM</t>
  </si>
  <si>
    <t>Zwrot części stypendiów udzielonych w ramach programu pn. „Stypendia Marszałka Województwa Podkarpackiego” wraz z odsetkami</t>
  </si>
  <si>
    <t xml:space="preserve">Dotacje celowe na pomoc finansową dla gmin na dofinansowanie zadań w ramach „Podkarpackiego Programu Odnowy Wsi na lata 2021-2025, w tym dla: 
a) Gminy Czarna na zadanie pn. Organizacja inicjatyw edukacyjnych dla mieszkańców powiatu bieszczadzkiego - 14.350,00 zł 
b) Gminy Rymanów na zadanie pn. Organizacja inicjatyw edukacyjnych w Gminnym Ośrodku Kultury w Rymanowie – 15.000,00 zł 
c) Gminy Horyniec na zadanie pn.  Zdrój - Uniwersytet Samorządności - pobudzić lokalną społeczność do działania – 14.977,00 zł 
d) Gminy Bircza na zadanie pn. Organizacja cyklu bezpłatnych inicjatyw edukacyjnych dla mieszkańców powiatu przemyskiego– 14.795,00 zł 
e) Gminy Pysznica na zadanie pn. Szkolenia – 12.397,00 zł,
f) Gminy Sędziszów Małopolski na realizację zadania pn. Remont budynku gospodarczego przy Domu Ludowym w Cierpiszu oraz zakup mebli ogrodowych – 12.000,00 zł,  
g) Gminy Czarna na realizację zadania pn. Świetlica w centrum uwagi - modernizacja i doposażenie Świetlicy Wiejskiej w Czarnej Dolnej – 12.000,00 zł,
h) Gminy Sanok na realizację zadania pn. Zakup profesjonalnego sprzętu AGD dla WDK w Lisznej wraz z zewnętrznymi elementami dekoracyjnymi – 12.000,00 zł, 
i) Gmina Pysznica na realizację zadania pn. Remont kuchni w świetlicy wiejskiej w Sudołach wraz z jej doposażeniem oraz organizacja warsztatów kulinarnych – 12.000,00 zł,
j) Gminy Jedlicze na realizację zadania pn. Remont pomieszczenia świetlicy w DL w Piotrówce w celu utworzenia centrum integracji organizacji działających w sołectwie – 9.367,00 zł, 
k) Gminy Przecław na realizację zadania pn. Remont tarasu i dostosowanie wejścia do budynku Domu Ludowego w Podolu do potrzeb osób niepełnosprawnych – 12.000,00 zł, 
</t>
  </si>
  <si>
    <t xml:space="preserve">Dotacje celowe na pomoc finansową dla gmin w ramach „Podkarpackiego Programu Odnowy Wsi na lata 2021-2025” w kwocie 55.680,00 zł, w tym dla:
a) Gminy Kuryłówka na zadanie pn. Modernizacja sanitariatów w Wiejskim Domu Ludowym – 12.000,00 zł, 
b) Gminy Cieszanów na zadanie pn. Budowa pomnika w hołdzie mieszkańcom wysiedlonym do III Rzeszy na niewolnicze roboty w 1943 roku wraz z zagospodarowaniem terenu – 12.000,00 zł, 
c) Gminy Skołyszyn na zadanie pn. Zagospodarowanie terenu w okolicy Domu Ludowego w Bączalu Górnym – 12.000,00 zł,
d) Gminy Jeżowe na zadanie pn. Wykonanie kompletnej dokumentacji projektowej na budowę pomnika upamiętniającego wysiedlenie mieszkańców Cholewianej Góry podczas II Wojny Światowej – 7. 680,00 zł,
e) Gminy Iwierzyce na zadanie pn. Wykonanie utwardzenia w altance w miejscowości Wiercany – 12.000,00 zł, </t>
  </si>
  <si>
    <t>Środki na uzupełnienie dochodów województw</t>
  </si>
  <si>
    <t>Zwrot przez organizacje pozarządowe niewykorzystanych dotacji oraz dotacji wykorzystanych niezgodnie z przeznaczeniem, pobranych nienależnie lub w nadmiernej wysokości na zadania z zakresu kultury fizycznej i sportu wraz z odsetkami</t>
  </si>
  <si>
    <t xml:space="preserve">Dotacja celowa na pomoc finansową dla  Powiatu Sanockiego z przeznaczeniem na realizację wakacyjnych połączeń kolejowych w relacji Łupków - Sanok w ramach zadania pn. "Lokalny Transport Zbiorowy". </t>
  </si>
  <si>
    <t xml:space="preserve">Dotacje celowe na pomoc finansową dla gmin w ramach „Podkarpackiego Programu Odnowy Wsi na lata 2021-2025, w tym dla:
1) Gminy Trzebownisko na realizację zadania pn. Opracowanie i wydanie publikacji dotyczącej historii wsi Łąka "Małe i wielkie historie Łąki" (Wydanie publikacji i organizacja wieczorku autorskiego) – 12 000,00 zł, 
2) Gminy Orły na realizację zadania pn. Organizacja "Dni Orłów" – 12 000,00 zł. </t>
  </si>
  <si>
    <t>Wpływy z tytułu opłat za udostępnianie informacji o środowisku</t>
  </si>
  <si>
    <t>Zwrot części niewykorzystanej dotacji oraz dotacji wykorzystanych niezgodnie z przeznaczeniem, pobranych nienależnie lub w nadmiernej wysokości na realizację zadań z zakresu wspierania rodziny wraz z odsetkami</t>
  </si>
  <si>
    <t>Dotacje celowe na pomoc finansową dla gmin na dofinansowanie zadań w ramach „Podkarpackiego Programu Odnowy Wsi na lata 2021-2025, w tym dla: 
a) Gminy Lesko na realizację zadania pn. Przebudowa świetlicy wiejskiej w Bezmiechowej Górnej - etap I (przebudowa łazienek i przedsionka – 12.000,00 zł, 
b) Gminy Rymanów - Doposażenie Domu Ludowego (zakup wyposażenia do kuchni) oraz zorganizowanie dożynek – 12.000,00 zł, 
c) Gminy Horyniec- Zdrój - Stworzenie miejsca spotkań w Świetlicy Wiejskiej w Nowinach Horynieckich - III etap - altana wraz zagospodarowaniem – 11.760,00 zł,
d) Gminy Dębowiec - Modernizacja pomieszczeń w Domu Ludowym w Zarzeczu celem zaspokojenia potrzeb społecznych mieszkańców (etap III) – 12.000,00 zł, 
e) Gminy Tarnowiec - Prace modernizacyjne w Domu Ludowym w Roztokach 
– 12.000,00 zł, 
f) Gminy Tyczyn - Wykonanie monitoringu wokół budynku Domu Ludowego i remizy OSP w Borku Starym – 11.618,00 zł.</t>
  </si>
  <si>
    <t xml:space="preserve">Zwrot dotacji wykorzystanych niezgodnie z przeznaczeniem, pobranych nienależnie lub w nadmiernej wysokości na realizację zadań z zakresu przeciwdziałania przemocy w rodzinie wraz z osetkami </t>
  </si>
  <si>
    <t>Zwrot podatku VAT od rozbudowy systemów teleinformatycznych wspomagających eksploatację pojazdów kolejowych</t>
  </si>
  <si>
    <t>Zwrot podatku VAT od usług serwisowo - utrzymaniowo - naprawczych</t>
  </si>
  <si>
    <t>Środki z lokat dokonanych w latach ubiegłych</t>
  </si>
  <si>
    <t>Dotacje celowe na pomoc finansową dla gmin w ramach „Podkarpackiego Programu Odnowy Wsi na lata 2021-2025", w tym dla:
1) Gminy Pilzno na zadanie pn. „Zintegrujemy się poprzez zdrowy tryb życia - zakup wyposażenia siłowni wewnętrznej, zakup wyposażenia kuchni wraz z organizacją warsztatów oraz imprezą integracyjną nt. zdrowego trybu życia” - 11.900,00 zł,
2) Gminy Głogów Małopolski na zadanie pn. „Doposażenie kompleksu rekreacyjnego "Rajska Dolina" w Pogwizdowie Starym ” - 12.000,00 zł,
3) Gminy Dębica na zadanie pn. „Wykonanie infrastruktury sportowo-rekreacyjnej we wsi Braciejowa” - 11.759,00 zł.</t>
  </si>
  <si>
    <t xml:space="preserve">o) Gminy Gać na realizację zadania pn. Nowoczesna świetlica poprzez wykonanie remontu i doposażenia świetlicy wiejskiej – 12.000,00 zł 
p) Gminy Grębów na realizację zadania pn. Remont Domu Ludowego w Zabrniu - etap II – 12.000,00 zł,
q) Gminy Stubno na realizację zadania pn. Organizacja corocznego "Święta bociana" oraz warsztatów kulinarnych organizowanych w sołectwie Stubno – 12.000,00 zł,
r) Gminy Tyrawa Wołoska na realizację zadania pn. Przygotowanie miejsca do atrakcyjnego, aktywnego i bezpiecznego spędzania czasu w przestrzeni wokół świetlicy wiejskiej oraz wyposażenie świetlicy etap II - 12.000,00 zł, 
s) Gminy Borowa na realizację zadania pn. Remont i poprawa funkcjonalności łazienek w budynku Ochotniczej Straży Pożarnej w Surowej w którym spotykają się mieszkańcy sołectwa – 11.990,00 zł. </t>
  </si>
  <si>
    <t xml:space="preserve">l) Gminy Lutowiska na realizację zadania pn. Kultywowanie tradycji ludowych, podtrzymywanie i doskonalenie sztuki kulinarnej, rękodzieła artystycznego i ludowego oraz folkloru poprzez organizację corocznego Bieszczadzkiego Święta Chmielu w Chmielu oraz zakup wyposażenia do samodzielnej organizacji imprez plenerowych – 12.000,00 zł, 
m) Gminy Leżajsk na realizację zadania pn. Remont sali widowiskowej (świetlicy) Gminnego Ośrodka Kultury w Dębnie wraz z doposażeniem w niezbędny sprzęt – 12.000,00 zł,
n) Gminy Osiek Jasielski na realizację zadania pn. Remont wraz z doposażeniem Domu Ludowego w Pielgrzymce – 12.000,00 zł, </t>
  </si>
  <si>
    <t>Dotacje celowe na pomoc finansową dla gmin w ramach „Podkarpackiego Programu Odnowy Wsi na lata 2021-2025”, w tym dla:
1) Gminy Krasne na zadanie pn. „Montaż ławek na placach zabaw, rozbudowa placów zabaw poprzez modernizację nawierzchni oraz montaż nowego wyposażenia” - 12.000,00 zł,
2) Gminy Solina na zadanie pn. „Budowa siłowni zewnętrznej w Bóbrce” - 12.000,00 zł,
3) Gminy Tuszów Narodowy na zadanie pn. „Modernizacja i doposażenie placu zabaw w celu zwiększenia bezpieczeństwa wraz z zagospodarowaniem terenu – ETAP II: zakup zestawu zabawowego” - 12.000,00 zł.</t>
  </si>
  <si>
    <t>Dotacja celowa na pomoc finansową dla Powiatu Bieszczadzkiego na realizację zadania pn. Rafineria kultur - rewitalizacja zabytkowego budynku Rafinerii FANTO w Ustrzykach Dolnych na potrzeby Bieszczadzkiego Centrum Dziedzictwa Kulturowego.</t>
  </si>
  <si>
    <t>Dotacje celowe dla powiatów z przeznaczeniem na zakup sprzętu informatycznego wraz z oprogramowaniem niezbędnym do prowadzenia spraw ochrony gruntów rolnych oraz wykonanie dokumentacji i ekspertyz z zakresu ochrony gruntów rolnych.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</si>
</sst>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 CE"/>
      <charset val="238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i/>
      <u/>
      <sz val="10"/>
      <color rgb="FFFF0000"/>
      <name val="Arial"/>
      <family val="2"/>
      <charset val="238"/>
    </font>
    <font>
      <i/>
      <sz val="11"/>
      <color rgb="FFFF0000"/>
      <name val="Arial CE"/>
      <charset val="238"/>
    </font>
    <font>
      <sz val="11"/>
      <color rgb="FFFF0000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Arial CE"/>
      <charset val="238"/>
    </font>
    <font>
      <b/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color rgb="FFFF000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i/>
      <sz val="10"/>
      <name val="Times New Roman CE"/>
      <family val="1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theme="1"/>
      <name val="Arial CE"/>
      <charset val="238"/>
    </font>
    <font>
      <b/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  <font>
      <i/>
      <sz val="11"/>
      <color rgb="FFFF0000"/>
      <name val="Arial"/>
      <family val="2"/>
      <charset val="238"/>
    </font>
    <font>
      <b/>
      <i/>
      <sz val="11"/>
      <color rgb="FFFF0000"/>
      <name val="Arial CE"/>
      <charset val="238"/>
    </font>
    <font>
      <i/>
      <sz val="11"/>
      <color theme="1"/>
      <name val="Arial CE"/>
      <charset val="238"/>
    </font>
    <font>
      <sz val="12"/>
      <color theme="1"/>
      <name val="Arial CE"/>
      <charset val="238"/>
    </font>
    <font>
      <sz val="10"/>
      <name val="Times New Roman CE"/>
      <charset val="238"/>
    </font>
    <font>
      <i/>
      <sz val="10"/>
      <color rgb="FFFF0000"/>
      <name val="Times New Roman CE"/>
      <family val="1"/>
      <charset val="238"/>
    </font>
    <font>
      <sz val="9"/>
      <color rgb="FFFF0000"/>
      <name val="Times New Roman CE"/>
      <family val="1"/>
      <charset val="238"/>
    </font>
    <font>
      <sz val="12"/>
      <color rgb="FFFF0000"/>
      <name val="Times New Roman CE"/>
      <family val="1"/>
      <charset val="238"/>
    </font>
    <font>
      <sz val="12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b/>
      <sz val="11"/>
      <color theme="1"/>
      <name val="Arial CE"/>
      <charset val="238"/>
    </font>
    <font>
      <sz val="10"/>
      <color rgb="FF000000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Arial CE"/>
      <charset val="238"/>
    </font>
    <font>
      <b/>
      <i/>
      <u/>
      <sz val="10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  <charset val="238"/>
    </font>
    <font>
      <i/>
      <sz val="14"/>
      <color rgb="FFFF0000"/>
      <name val="Arial"/>
      <family val="2"/>
      <charset val="238"/>
    </font>
    <font>
      <i/>
      <sz val="14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Czcionka tekstu podstawowego"/>
      <charset val="238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name val="Arial"/>
      <family val="2"/>
    </font>
    <font>
      <u/>
      <sz val="10"/>
      <name val="Arial"/>
      <family val="2"/>
      <charset val="238"/>
    </font>
    <font>
      <sz val="11"/>
      <name val="Arial CE"/>
      <charset val="238"/>
    </font>
    <font>
      <b/>
      <sz val="10"/>
      <color theme="1"/>
      <name val="Arial"/>
      <family val="2"/>
    </font>
    <font>
      <sz val="11"/>
      <name val="Arial "/>
      <charset val="238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rgb="FF00B0F0"/>
      <name val="Calibri"/>
      <family val="2"/>
      <scheme val="minor"/>
    </font>
    <font>
      <b/>
      <i/>
      <sz val="14"/>
      <name val="Arial"/>
      <family val="2"/>
      <charset val="238"/>
    </font>
    <font>
      <sz val="8"/>
      <name val="Arial"/>
      <family val="2"/>
      <charset val="238"/>
    </font>
    <font>
      <b/>
      <sz val="10"/>
      <name val="Czcionka tekstu podstawowego"/>
      <charset val="238"/>
    </font>
    <font>
      <sz val="11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indexed="9"/>
        <bgColor indexed="64"/>
      </patternFill>
    </fill>
  </fills>
  <borders count="13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1" fillId="0" borderId="0"/>
    <xf numFmtId="0" fontId="38" fillId="0" borderId="0" applyNumberFormat="0" applyFill="0" applyBorder="0" applyAlignment="0" applyProtection="0">
      <alignment vertical="top"/>
    </xf>
    <xf numFmtId="0" fontId="14" fillId="0" borderId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2" fillId="0" borderId="0"/>
    <xf numFmtId="0" fontId="3" fillId="0" borderId="0"/>
    <xf numFmtId="0" fontId="58" fillId="0" borderId="0"/>
    <xf numFmtId="0" fontId="1" fillId="0" borderId="0"/>
    <xf numFmtId="0" fontId="42" fillId="0" borderId="0"/>
    <xf numFmtId="0" fontId="42" fillId="0" borderId="0"/>
    <xf numFmtId="0" fontId="65" fillId="0" borderId="0" applyNumberFormat="0" applyBorder="0" applyProtection="0"/>
    <xf numFmtId="0" fontId="14" fillId="0" borderId="0"/>
  </cellStyleXfs>
  <cellXfs count="5647">
    <xf numFmtId="0" fontId="0" fillId="0" borderId="0" xfId="0"/>
    <xf numFmtId="0" fontId="4" fillId="0" borderId="0" xfId="2" applyFont="1"/>
    <xf numFmtId="0" fontId="3" fillId="0" borderId="0" xfId="2"/>
    <xf numFmtId="0" fontId="2" fillId="0" borderId="0" xfId="2" applyFont="1"/>
    <xf numFmtId="10" fontId="18" fillId="0" borderId="20" xfId="1" applyNumberFormat="1" applyFont="1" applyFill="1" applyBorder="1" applyAlignment="1">
      <alignment horizontal="right" vertical="center"/>
    </xf>
    <xf numFmtId="49" fontId="19" fillId="0" borderId="14" xfId="2" applyNumberFormat="1" applyFont="1" applyBorder="1" applyAlignment="1">
      <alignment vertical="center" wrapText="1"/>
    </xf>
    <xf numFmtId="0" fontId="16" fillId="0" borderId="14" xfId="2" applyFont="1" applyBorder="1" applyAlignment="1">
      <alignment vertical="center" wrapText="1"/>
    </xf>
    <xf numFmtId="3" fontId="3" fillId="0" borderId="0" xfId="2" applyNumberFormat="1"/>
    <xf numFmtId="0" fontId="15" fillId="0" borderId="14" xfId="2" applyFont="1" applyBorder="1" applyAlignment="1">
      <alignment vertical="center" wrapText="1"/>
    </xf>
    <xf numFmtId="0" fontId="15" fillId="0" borderId="7" xfId="2" applyFont="1" applyBorder="1" applyAlignment="1">
      <alignment vertical="center" wrapText="1"/>
    </xf>
    <xf numFmtId="0" fontId="15" fillId="0" borderId="14" xfId="2" applyFont="1" applyBorder="1" applyAlignment="1">
      <alignment horizontal="left" vertical="center" wrapText="1"/>
    </xf>
    <xf numFmtId="0" fontId="25" fillId="0" borderId="14" xfId="2" applyFont="1" applyBorder="1" applyAlignment="1">
      <alignment vertical="center" wrapText="1"/>
    </xf>
    <xf numFmtId="0" fontId="3" fillId="6" borderId="0" xfId="2" applyFill="1"/>
    <xf numFmtId="0" fontId="25" fillId="0" borderId="7" xfId="2" applyFont="1" applyBorder="1" applyAlignment="1">
      <alignment vertical="center" wrapText="1"/>
    </xf>
    <xf numFmtId="0" fontId="15" fillId="6" borderId="7" xfId="2" applyFont="1" applyFill="1" applyBorder="1" applyAlignment="1">
      <alignment horizontal="center" vertical="center" wrapText="1"/>
    </xf>
    <xf numFmtId="0" fontId="20" fillId="0" borderId="7" xfId="2" applyFont="1" applyBorder="1" applyAlignment="1">
      <alignment vertical="center" wrapText="1"/>
    </xf>
    <xf numFmtId="0" fontId="11" fillId="0" borderId="0" xfId="2" applyFont="1"/>
    <xf numFmtId="0" fontId="15" fillId="6" borderId="14" xfId="2" applyFont="1" applyFill="1" applyBorder="1" applyAlignment="1">
      <alignment vertical="center" wrapText="1"/>
    </xf>
    <xf numFmtId="0" fontId="15" fillId="6" borderId="7" xfId="2" applyFont="1" applyFill="1" applyBorder="1" applyAlignment="1">
      <alignment vertical="center" wrapText="1"/>
    </xf>
    <xf numFmtId="0" fontId="3" fillId="7" borderId="0" xfId="2" applyFill="1"/>
    <xf numFmtId="0" fontId="3" fillId="4" borderId="0" xfId="2" applyFill="1"/>
    <xf numFmtId="0" fontId="25" fillId="0" borderId="14" xfId="4" applyFont="1" applyBorder="1" applyAlignment="1">
      <alignment vertical="center" wrapText="1"/>
    </xf>
    <xf numFmtId="0" fontId="15" fillId="6" borderId="14" xfId="4" applyFont="1" applyFill="1" applyBorder="1" applyAlignment="1">
      <alignment vertical="center" wrapText="1"/>
    </xf>
    <xf numFmtId="0" fontId="25" fillId="0" borderId="7" xfId="4" applyFont="1" applyBorder="1" applyAlignment="1">
      <alignment vertical="center" wrapText="1"/>
    </xf>
    <xf numFmtId="0" fontId="15" fillId="0" borderId="14" xfId="4" applyFont="1" applyBorder="1" applyAlignment="1">
      <alignment vertical="center" wrapText="1"/>
    </xf>
    <xf numFmtId="10" fontId="17" fillId="0" borderId="20" xfId="1" applyNumberFormat="1" applyFont="1" applyFill="1" applyBorder="1" applyAlignment="1">
      <alignment horizontal="right" vertical="center"/>
    </xf>
    <xf numFmtId="0" fontId="10" fillId="0" borderId="14" xfId="4" applyFont="1" applyBorder="1" applyAlignment="1">
      <alignment vertical="center" wrapText="1"/>
    </xf>
    <xf numFmtId="0" fontId="10" fillId="0" borderId="7" xfId="4" applyFont="1" applyBorder="1" applyAlignment="1">
      <alignment vertical="center" wrapText="1"/>
    </xf>
    <xf numFmtId="0" fontId="25" fillId="6" borderId="14" xfId="4" applyFont="1" applyFill="1" applyBorder="1" applyAlignment="1">
      <alignment vertical="center" wrapText="1"/>
    </xf>
    <xf numFmtId="0" fontId="23" fillId="6" borderId="14" xfId="4" applyFont="1" applyFill="1" applyBorder="1" applyAlignment="1">
      <alignment vertical="center" wrapText="1"/>
    </xf>
    <xf numFmtId="3" fontId="17" fillId="0" borderId="0" xfId="2" applyNumberFormat="1" applyFont="1" applyAlignment="1">
      <alignment horizontal="right" vertical="center"/>
    </xf>
    <xf numFmtId="0" fontId="28" fillId="5" borderId="14" xfId="4" applyFont="1" applyFill="1" applyBorder="1" applyAlignment="1">
      <alignment vertical="center"/>
    </xf>
    <xf numFmtId="3" fontId="16" fillId="0" borderId="0" xfId="2" applyNumberFormat="1" applyFont="1" applyAlignment="1">
      <alignment horizontal="right" vertical="center"/>
    </xf>
    <xf numFmtId="0" fontId="28" fillId="5" borderId="9" xfId="4" applyFont="1" applyFill="1" applyBorder="1" applyAlignment="1">
      <alignment vertical="center"/>
    </xf>
    <xf numFmtId="0" fontId="24" fillId="0" borderId="0" xfId="2" applyFont="1"/>
    <xf numFmtId="4" fontId="16" fillId="0" borderId="0" xfId="2" applyNumberFormat="1" applyFont="1" applyAlignment="1">
      <alignment horizontal="right" vertical="center"/>
    </xf>
    <xf numFmtId="0" fontId="29" fillId="0" borderId="0" xfId="2" applyFont="1"/>
    <xf numFmtId="0" fontId="29" fillId="0" borderId="0" xfId="2" applyFont="1" applyAlignment="1">
      <alignment horizontal="right"/>
    </xf>
    <xf numFmtId="3" fontId="24" fillId="0" borderId="0" xfId="2" applyNumberFormat="1" applyFont="1"/>
    <xf numFmtId="0" fontId="30" fillId="0" borderId="0" xfId="2" applyFont="1"/>
    <xf numFmtId="3" fontId="10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center" vertical="center"/>
    </xf>
    <xf numFmtId="0" fontId="24" fillId="0" borderId="0" xfId="2" applyFont="1" applyAlignment="1">
      <alignment vertical="center"/>
    </xf>
    <xf numFmtId="10" fontId="22" fillId="5" borderId="9" xfId="1" applyNumberFormat="1" applyFont="1" applyFill="1" applyBorder="1" applyAlignment="1">
      <alignment horizontal="right" vertical="center"/>
    </xf>
    <xf numFmtId="0" fontId="26" fillId="6" borderId="14" xfId="2" applyFont="1" applyFill="1" applyBorder="1" applyAlignment="1">
      <alignment vertical="center" wrapText="1"/>
    </xf>
    <xf numFmtId="0" fontId="26" fillId="6" borderId="30" xfId="2" applyFont="1" applyFill="1" applyBorder="1" applyAlignment="1">
      <alignment vertical="center" wrapText="1"/>
    </xf>
    <xf numFmtId="0" fontId="10" fillId="6" borderId="14" xfId="4" applyFont="1" applyFill="1" applyBorder="1" applyAlignment="1">
      <alignment horizontal="center" vertical="center" wrapText="1"/>
    </xf>
    <xf numFmtId="4" fontId="3" fillId="0" borderId="0" xfId="2" applyNumberFormat="1"/>
    <xf numFmtId="3" fontId="33" fillId="5" borderId="7" xfId="2" applyNumberFormat="1" applyFont="1" applyFill="1" applyBorder="1" applyAlignment="1">
      <alignment horizontal="right" vertical="center"/>
    </xf>
    <xf numFmtId="3" fontId="36" fillId="0" borderId="20" xfId="3" applyNumberFormat="1" applyFont="1" applyFill="1" applyBorder="1" applyAlignment="1">
      <alignment horizontal="right" vertical="center"/>
    </xf>
    <xf numFmtId="3" fontId="34" fillId="3" borderId="3" xfId="2" applyNumberFormat="1" applyFont="1" applyFill="1" applyBorder="1" applyAlignment="1">
      <alignment horizontal="right" vertical="center"/>
    </xf>
    <xf numFmtId="3" fontId="34" fillId="4" borderId="7" xfId="2" applyNumberFormat="1" applyFont="1" applyFill="1" applyBorder="1" applyAlignment="1">
      <alignment horizontal="right" vertical="center"/>
    </xf>
    <xf numFmtId="3" fontId="36" fillId="0" borderId="14" xfId="3" applyNumberFormat="1" applyFont="1" applyFill="1" applyBorder="1" applyAlignment="1">
      <alignment horizontal="right" vertical="center"/>
    </xf>
    <xf numFmtId="3" fontId="34" fillId="4" borderId="14" xfId="2" applyNumberFormat="1" applyFont="1" applyFill="1" applyBorder="1" applyAlignment="1">
      <alignment horizontal="right" vertical="center"/>
    </xf>
    <xf numFmtId="4" fontId="31" fillId="5" borderId="21" xfId="2" applyNumberFormat="1" applyFont="1" applyFill="1" applyBorder="1" applyAlignment="1">
      <alignment horizontal="right" vertical="center"/>
    </xf>
    <xf numFmtId="3" fontId="33" fillId="5" borderId="14" xfId="2" applyNumberFormat="1" applyFont="1" applyFill="1" applyBorder="1" applyAlignment="1">
      <alignment horizontal="right" vertical="center"/>
    </xf>
    <xf numFmtId="3" fontId="35" fillId="4" borderId="2" xfId="2" applyNumberFormat="1" applyFont="1" applyFill="1" applyBorder="1" applyAlignment="1">
      <alignment horizontal="right" vertical="center"/>
    </xf>
    <xf numFmtId="3" fontId="31" fillId="5" borderId="16" xfId="2" applyNumberFormat="1" applyFont="1" applyFill="1" applyBorder="1" applyAlignment="1">
      <alignment horizontal="right" vertical="center"/>
    </xf>
    <xf numFmtId="3" fontId="36" fillId="0" borderId="14" xfId="2" applyNumberFormat="1" applyFont="1" applyBorder="1" applyAlignment="1">
      <alignment horizontal="right" vertical="center"/>
    </xf>
    <xf numFmtId="3" fontId="34" fillId="4" borderId="4" xfId="2" applyNumberFormat="1" applyFont="1" applyFill="1" applyBorder="1" applyAlignment="1">
      <alignment horizontal="right" vertical="center"/>
    </xf>
    <xf numFmtId="3" fontId="36" fillId="6" borderId="7" xfId="3" applyNumberFormat="1" applyFont="1" applyFill="1" applyBorder="1" applyAlignment="1">
      <alignment horizontal="right" vertical="center"/>
    </xf>
    <xf numFmtId="3" fontId="34" fillId="4" borderId="12" xfId="2" applyNumberFormat="1" applyFont="1" applyFill="1" applyBorder="1" applyAlignment="1">
      <alignment horizontal="right" vertical="center"/>
    </xf>
    <xf numFmtId="3" fontId="33" fillId="5" borderId="16" xfId="2" applyNumberFormat="1" applyFont="1" applyFill="1" applyBorder="1" applyAlignment="1">
      <alignment horizontal="right" vertical="center"/>
    </xf>
    <xf numFmtId="3" fontId="34" fillId="4" borderId="25" xfId="2" applyNumberFormat="1" applyFont="1" applyFill="1" applyBorder="1" applyAlignment="1">
      <alignment horizontal="right" vertical="center"/>
    </xf>
    <xf numFmtId="3" fontId="34" fillId="3" borderId="4" xfId="2" applyNumberFormat="1" applyFont="1" applyFill="1" applyBorder="1" applyAlignment="1">
      <alignment horizontal="right" vertical="center"/>
    </xf>
    <xf numFmtId="0" fontId="15" fillId="0" borderId="25" xfId="2" applyFont="1" applyBorder="1" applyAlignment="1">
      <alignment vertical="center" wrapText="1"/>
    </xf>
    <xf numFmtId="0" fontId="3" fillId="0" borderId="0" xfId="2" quotePrefix="1"/>
    <xf numFmtId="3" fontId="14" fillId="0" borderId="0" xfId="2" applyNumberFormat="1" applyFont="1" applyAlignment="1">
      <alignment horizontal="right" vertical="center"/>
    </xf>
    <xf numFmtId="0" fontId="19" fillId="6" borderId="14" xfId="4" applyFont="1" applyFill="1" applyBorder="1" applyAlignment="1">
      <alignment vertical="center" wrapText="1"/>
    </xf>
    <xf numFmtId="3" fontId="35" fillId="4" borderId="7" xfId="2" applyNumberFormat="1" applyFont="1" applyFill="1" applyBorder="1" applyAlignment="1">
      <alignment horizontal="right" vertical="center"/>
    </xf>
    <xf numFmtId="0" fontId="40" fillId="0" borderId="0" xfId="4" applyFont="1" applyAlignment="1">
      <alignment vertical="center"/>
    </xf>
    <xf numFmtId="3" fontId="40" fillId="0" borderId="0" xfId="4" applyNumberFormat="1" applyFont="1" applyAlignment="1">
      <alignment vertical="center"/>
    </xf>
    <xf numFmtId="0" fontId="41" fillId="0" borderId="0" xfId="4" applyFont="1" applyAlignment="1">
      <alignment vertical="center"/>
    </xf>
    <xf numFmtId="0" fontId="40" fillId="0" borderId="0" xfId="4" applyFont="1" applyAlignment="1">
      <alignment horizontal="center" vertical="center"/>
    </xf>
    <xf numFmtId="4" fontId="40" fillId="0" borderId="0" xfId="4" applyNumberFormat="1" applyFont="1" applyAlignment="1">
      <alignment vertical="center"/>
    </xf>
    <xf numFmtId="0" fontId="43" fillId="0" borderId="0" xfId="4" applyFont="1" applyAlignment="1">
      <alignment horizontal="center" vertical="center"/>
    </xf>
    <xf numFmtId="0" fontId="41" fillId="0" borderId="0" xfId="4" applyFont="1" applyAlignment="1">
      <alignment horizontal="center" vertical="center"/>
    </xf>
    <xf numFmtId="3" fontId="40" fillId="0" borderId="0" xfId="4" applyNumberFormat="1" applyFont="1" applyAlignment="1">
      <alignment horizontal="center" vertical="center"/>
    </xf>
    <xf numFmtId="0" fontId="40" fillId="0" borderId="69" xfId="4" applyFont="1" applyBorder="1" applyAlignment="1">
      <alignment horizontal="center" vertical="center"/>
    </xf>
    <xf numFmtId="0" fontId="14" fillId="0" borderId="0" xfId="4"/>
    <xf numFmtId="0" fontId="17" fillId="0" borderId="0" xfId="4" applyFont="1"/>
    <xf numFmtId="0" fontId="45" fillId="0" borderId="0" xfId="4" applyFont="1"/>
    <xf numFmtId="0" fontId="45" fillId="0" borderId="0" xfId="4" applyFont="1" applyAlignment="1">
      <alignment wrapText="1"/>
    </xf>
    <xf numFmtId="0" fontId="45" fillId="0" borderId="0" xfId="4" applyFont="1" applyAlignment="1">
      <alignment horizontal="center"/>
    </xf>
    <xf numFmtId="0" fontId="22" fillId="6" borderId="0" xfId="4" applyFont="1" applyFill="1"/>
    <xf numFmtId="0" fontId="17" fillId="6" borderId="0" xfId="4" applyFont="1" applyFill="1"/>
    <xf numFmtId="0" fontId="22" fillId="0" borderId="0" xfId="4" applyFont="1"/>
    <xf numFmtId="0" fontId="18" fillId="0" borderId="0" xfId="4" applyFont="1"/>
    <xf numFmtId="3" fontId="17" fillId="0" borderId="0" xfId="4" applyNumberFormat="1" applyFont="1"/>
    <xf numFmtId="4" fontId="45" fillId="6" borderId="0" xfId="4" applyNumberFormat="1" applyFont="1" applyFill="1" applyAlignment="1">
      <alignment horizontal="right" vertical="center" wrapText="1"/>
    </xf>
    <xf numFmtId="3" fontId="45" fillId="6" borderId="14" xfId="4" applyNumberFormat="1" applyFont="1" applyFill="1" applyBorder="1" applyAlignment="1">
      <alignment horizontal="right" vertical="center" wrapText="1"/>
    </xf>
    <xf numFmtId="49" fontId="45" fillId="6" borderId="0" xfId="4" applyNumberFormat="1" applyFont="1" applyFill="1" applyAlignment="1">
      <alignment horizontal="center" vertical="center"/>
    </xf>
    <xf numFmtId="49" fontId="45" fillId="6" borderId="14" xfId="4" applyNumberFormat="1" applyFont="1" applyFill="1" applyBorder="1" applyAlignment="1">
      <alignment horizontal="center" vertical="center" wrapText="1"/>
    </xf>
    <xf numFmtId="49" fontId="45" fillId="6" borderId="14" xfId="4" applyNumberFormat="1" applyFont="1" applyFill="1" applyBorder="1" applyAlignment="1">
      <alignment horizontal="center" vertical="center"/>
    </xf>
    <xf numFmtId="49" fontId="48" fillId="6" borderId="25" xfId="4" applyNumberFormat="1" applyFont="1" applyFill="1" applyBorder="1" applyAlignment="1">
      <alignment vertical="center"/>
    </xf>
    <xf numFmtId="3" fontId="22" fillId="0" borderId="0" xfId="4" applyNumberFormat="1" applyFont="1"/>
    <xf numFmtId="3" fontId="17" fillId="0" borderId="0" xfId="4" applyNumberFormat="1" applyFont="1" applyAlignment="1">
      <alignment horizontal="center"/>
    </xf>
    <xf numFmtId="49" fontId="48" fillId="0" borderId="25" xfId="4" applyNumberFormat="1" applyFont="1" applyBorder="1" applyAlignment="1">
      <alignment vertical="center"/>
    </xf>
    <xf numFmtId="0" fontId="28" fillId="0" borderId="0" xfId="4" applyFont="1"/>
    <xf numFmtId="0" fontId="28" fillId="0" borderId="0" xfId="4" applyFont="1" applyAlignment="1">
      <alignment wrapText="1"/>
    </xf>
    <xf numFmtId="0" fontId="36" fillId="0" borderId="0" xfId="4" applyFont="1"/>
    <xf numFmtId="0" fontId="36" fillId="6" borderId="0" xfId="4" applyFont="1" applyFill="1"/>
    <xf numFmtId="0" fontId="7" fillId="0" borderId="0" xfId="4" applyFont="1"/>
    <xf numFmtId="0" fontId="33" fillId="0" borderId="0" xfId="4" applyFont="1"/>
    <xf numFmtId="3" fontId="33" fillId="0" borderId="0" xfId="4" applyNumberFormat="1" applyFont="1"/>
    <xf numFmtId="3" fontId="7" fillId="0" borderId="0" xfId="4" applyNumberFormat="1" applyFont="1"/>
    <xf numFmtId="0" fontId="28" fillId="0" borderId="0" xfId="4" applyFont="1" applyAlignment="1">
      <alignment horizontal="left"/>
    </xf>
    <xf numFmtId="0" fontId="28" fillId="0" borderId="0" xfId="4" applyFont="1" applyAlignment="1">
      <alignment horizontal="center"/>
    </xf>
    <xf numFmtId="4" fontId="28" fillId="0" borderId="0" xfId="4" applyNumberFormat="1" applyFont="1"/>
    <xf numFmtId="3" fontId="28" fillId="0" borderId="0" xfId="4" applyNumberFormat="1" applyFont="1" applyAlignment="1">
      <alignment horizontal="left"/>
    </xf>
    <xf numFmtId="3" fontId="53" fillId="0" borderId="0" xfId="4" applyNumberFormat="1" applyFont="1" applyAlignment="1">
      <alignment horizontal="left"/>
    </xf>
    <xf numFmtId="3" fontId="28" fillId="0" borderId="0" xfId="4" applyNumberFormat="1" applyFont="1"/>
    <xf numFmtId="4" fontId="17" fillId="0" borderId="0" xfId="4" applyNumberFormat="1" applyFont="1"/>
    <xf numFmtId="49" fontId="28" fillId="0" borderId="0" xfId="4" applyNumberFormat="1" applyFont="1" applyAlignment="1">
      <alignment horizontal="right"/>
    </xf>
    <xf numFmtId="4" fontId="28" fillId="0" borderId="0" xfId="4" applyNumberFormat="1" applyFont="1" applyAlignment="1">
      <alignment wrapText="1"/>
    </xf>
    <xf numFmtId="4" fontId="28" fillId="0" borderId="0" xfId="4" applyNumberFormat="1" applyFont="1" applyAlignment="1">
      <alignment horizontal="center"/>
    </xf>
    <xf numFmtId="3" fontId="28" fillId="0" borderId="0" xfId="4" applyNumberFormat="1" applyFont="1" applyAlignment="1">
      <alignment horizontal="center"/>
    </xf>
    <xf numFmtId="49" fontId="48" fillId="0" borderId="7" xfId="4" applyNumberFormat="1" applyFont="1" applyBorder="1" applyAlignment="1">
      <alignment vertical="center"/>
    </xf>
    <xf numFmtId="0" fontId="52" fillId="5" borderId="10" xfId="4" applyFont="1" applyFill="1" applyBorder="1" applyAlignment="1">
      <alignment horizontal="left" vertical="center" wrapText="1"/>
    </xf>
    <xf numFmtId="49" fontId="48" fillId="0" borderId="14" xfId="4" applyNumberFormat="1" applyFont="1" applyBorder="1" applyAlignment="1">
      <alignment vertical="center"/>
    </xf>
    <xf numFmtId="49" fontId="36" fillId="6" borderId="0" xfId="4" applyNumberFormat="1" applyFont="1" applyFill="1"/>
    <xf numFmtId="0" fontId="52" fillId="5" borderId="82" xfId="10" applyFont="1" applyFill="1" applyBorder="1" applyAlignment="1">
      <alignment horizontal="left" vertical="center"/>
    </xf>
    <xf numFmtId="0" fontId="44" fillId="0" borderId="0" xfId="4" applyFont="1" applyAlignment="1">
      <alignment vertical="center"/>
    </xf>
    <xf numFmtId="0" fontId="51" fillId="0" borderId="0" xfId="4" applyFont="1" applyAlignment="1">
      <alignment vertical="center"/>
    </xf>
    <xf numFmtId="0" fontId="57" fillId="0" borderId="0" xfId="4" applyFont="1"/>
    <xf numFmtId="0" fontId="48" fillId="5" borderId="7" xfId="4" applyFont="1" applyFill="1" applyBorder="1" applyAlignment="1">
      <alignment horizontal="left" vertical="center" wrapText="1"/>
    </xf>
    <xf numFmtId="49" fontId="48" fillId="0" borderId="14" xfId="4" applyNumberFormat="1" applyFont="1" applyBorder="1" applyAlignment="1">
      <alignment vertical="top"/>
    </xf>
    <xf numFmtId="49" fontId="54" fillId="6" borderId="14" xfId="4" applyNumberFormat="1" applyFont="1" applyFill="1" applyBorder="1" applyAlignment="1">
      <alignment vertical="center" wrapText="1"/>
    </xf>
    <xf numFmtId="49" fontId="54" fillId="6" borderId="14" xfId="4" applyNumberFormat="1" applyFont="1" applyFill="1" applyBorder="1" applyAlignment="1">
      <alignment vertical="center"/>
    </xf>
    <xf numFmtId="0" fontId="45" fillId="10" borderId="82" xfId="4" applyFont="1" applyFill="1" applyBorder="1" applyAlignment="1">
      <alignment horizontal="left" vertical="center" wrapText="1"/>
    </xf>
    <xf numFmtId="0" fontId="11" fillId="0" borderId="0" xfId="4" applyFont="1"/>
    <xf numFmtId="0" fontId="42" fillId="0" borderId="0" xfId="14"/>
    <xf numFmtId="2" fontId="44" fillId="0" borderId="78" xfId="14" applyNumberFormat="1" applyFont="1" applyBorder="1" applyAlignment="1">
      <alignment horizontal="right" vertical="center"/>
    </xf>
    <xf numFmtId="4" fontId="42" fillId="0" borderId="0" xfId="14" applyNumberFormat="1"/>
    <xf numFmtId="3" fontId="42" fillId="0" borderId="0" xfId="14" applyNumberFormat="1"/>
    <xf numFmtId="0" fontId="9" fillId="0" borderId="0" xfId="14" applyFont="1" applyAlignment="1">
      <alignment wrapText="1"/>
    </xf>
    <xf numFmtId="3" fontId="34" fillId="4" borderId="10" xfId="2" applyNumberFormat="1" applyFont="1" applyFill="1" applyBorder="1" applyAlignment="1">
      <alignment horizontal="right" vertical="center"/>
    </xf>
    <xf numFmtId="0" fontId="15" fillId="6" borderId="14" xfId="2" applyFont="1" applyFill="1" applyBorder="1" applyAlignment="1">
      <alignment horizontal="center" vertical="center" wrapText="1"/>
    </xf>
    <xf numFmtId="0" fontId="15" fillId="6" borderId="30" xfId="2" applyFont="1" applyFill="1" applyBorder="1" applyAlignment="1">
      <alignment horizontal="center" vertical="center" wrapText="1"/>
    </xf>
    <xf numFmtId="49" fontId="48" fillId="0" borderId="25" xfId="4" applyNumberFormat="1" applyFont="1" applyBorder="1" applyAlignment="1">
      <alignment horizontal="center" vertical="center"/>
    </xf>
    <xf numFmtId="10" fontId="18" fillId="4" borderId="2" xfId="1" applyNumberFormat="1" applyFont="1" applyFill="1" applyBorder="1" applyAlignment="1">
      <alignment horizontal="right" vertical="center"/>
    </xf>
    <xf numFmtId="10" fontId="22" fillId="5" borderId="16" xfId="1" applyNumberFormat="1" applyFont="1" applyFill="1" applyBorder="1" applyAlignment="1">
      <alignment horizontal="right" vertical="center"/>
    </xf>
    <xf numFmtId="49" fontId="10" fillId="3" borderId="2" xfId="2" applyNumberFormat="1" applyFont="1" applyFill="1" applyBorder="1" applyAlignment="1">
      <alignment horizontal="left" vertical="center" wrapText="1"/>
    </xf>
    <xf numFmtId="0" fontId="15" fillId="5" borderId="7" xfId="2" quotePrefix="1" applyFont="1" applyFill="1" applyBorder="1" applyAlignment="1">
      <alignment horizontal="left" vertical="center" wrapText="1"/>
    </xf>
    <xf numFmtId="10" fontId="18" fillId="3" borderId="2" xfId="1" applyNumberFormat="1" applyFont="1" applyFill="1" applyBorder="1" applyAlignment="1">
      <alignment horizontal="right" vertical="center"/>
    </xf>
    <xf numFmtId="0" fontId="10" fillId="6" borderId="3" xfId="2" applyFont="1" applyFill="1" applyBorder="1" applyAlignment="1">
      <alignment vertical="center" wrapText="1"/>
    </xf>
    <xf numFmtId="0" fontId="10" fillId="6" borderId="14" xfId="2" applyFont="1" applyFill="1" applyBorder="1" applyAlignment="1">
      <alignment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6" fillId="6" borderId="14" xfId="4" applyFont="1" applyFill="1" applyBorder="1" applyAlignment="1">
      <alignment vertical="center" wrapText="1"/>
    </xf>
    <xf numFmtId="0" fontId="20" fillId="6" borderId="14" xfId="4" applyFont="1" applyFill="1" applyBorder="1" applyAlignment="1">
      <alignment vertical="center" wrapText="1"/>
    </xf>
    <xf numFmtId="0" fontId="20" fillId="6" borderId="7" xfId="4" applyFont="1" applyFill="1" applyBorder="1" applyAlignment="1">
      <alignment vertical="center" wrapText="1"/>
    </xf>
    <xf numFmtId="0" fontId="10" fillId="6" borderId="14" xfId="4" applyFont="1" applyFill="1" applyBorder="1" applyAlignment="1">
      <alignment vertical="center" wrapText="1"/>
    </xf>
    <xf numFmtId="0" fontId="15" fillId="6" borderId="14" xfId="4" applyFont="1" applyFill="1" applyBorder="1" applyAlignment="1">
      <alignment horizontal="center" vertical="center" wrapText="1"/>
    </xf>
    <xf numFmtId="0" fontId="48" fillId="2" borderId="2" xfId="4" applyFont="1" applyFill="1" applyBorder="1" applyAlignment="1">
      <alignment horizontal="center" vertical="center" wrapText="1"/>
    </xf>
    <xf numFmtId="0" fontId="28" fillId="5" borderId="5" xfId="4" applyFont="1" applyFill="1" applyBorder="1" applyAlignment="1">
      <alignment vertical="center"/>
    </xf>
    <xf numFmtId="3" fontId="16" fillId="5" borderId="36" xfId="2" applyNumberFormat="1" applyFont="1" applyFill="1" applyBorder="1" applyAlignment="1">
      <alignment horizontal="right" vertical="center"/>
    </xf>
    <xf numFmtId="0" fontId="53" fillId="5" borderId="20" xfId="4" applyFont="1" applyFill="1" applyBorder="1" applyAlignment="1">
      <alignment vertical="center"/>
    </xf>
    <xf numFmtId="0" fontId="28" fillId="5" borderId="18" xfId="4" applyFont="1" applyFill="1" applyBorder="1" applyAlignment="1">
      <alignment vertical="center"/>
    </xf>
    <xf numFmtId="0" fontId="53" fillId="5" borderId="9" xfId="4" applyFont="1" applyFill="1" applyBorder="1" applyAlignment="1">
      <alignment vertical="center"/>
    </xf>
    <xf numFmtId="3" fontId="10" fillId="12" borderId="63" xfId="4" applyNumberFormat="1" applyFont="1" applyFill="1" applyBorder="1" applyAlignment="1">
      <alignment horizontal="right" vertical="center"/>
    </xf>
    <xf numFmtId="4" fontId="10" fillId="12" borderId="63" xfId="4" applyNumberFormat="1" applyFont="1" applyFill="1" applyBorder="1" applyAlignment="1">
      <alignment horizontal="right" vertical="center"/>
    </xf>
    <xf numFmtId="3" fontId="16" fillId="0" borderId="63" xfId="4" applyNumberFormat="1" applyFont="1" applyBorder="1" applyAlignment="1">
      <alignment horizontal="right" vertical="center"/>
    </xf>
    <xf numFmtId="4" fontId="16" fillId="0" borderId="63" xfId="4" applyNumberFormat="1" applyFont="1" applyBorder="1" applyAlignment="1">
      <alignment vertical="center"/>
    </xf>
    <xf numFmtId="10" fontId="10" fillId="12" borderId="62" xfId="8" applyNumberFormat="1" applyFont="1" applyFill="1" applyBorder="1" applyAlignment="1">
      <alignment horizontal="right" vertical="center"/>
    </xf>
    <xf numFmtId="10" fontId="16" fillId="0" borderId="62" xfId="8" applyNumberFormat="1" applyFont="1" applyBorder="1" applyAlignment="1">
      <alignment vertical="center"/>
    </xf>
    <xf numFmtId="49" fontId="41" fillId="0" borderId="0" xfId="4" applyNumberFormat="1" applyFont="1" applyAlignment="1">
      <alignment horizontal="center" vertical="center"/>
    </xf>
    <xf numFmtId="3" fontId="41" fillId="0" borderId="0" xfId="4" applyNumberFormat="1" applyFont="1" applyAlignment="1">
      <alignment horizontal="right" vertical="center"/>
    </xf>
    <xf numFmtId="49" fontId="41" fillId="0" borderId="0" xfId="4" applyNumberFormat="1" applyFont="1" applyAlignment="1">
      <alignment vertical="center"/>
    </xf>
    <xf numFmtId="0" fontId="41" fillId="0" borderId="0" xfId="4" applyFont="1" applyAlignment="1">
      <alignment horizontal="right" vertical="center"/>
    </xf>
    <xf numFmtId="49" fontId="41" fillId="0" borderId="0" xfId="4" applyNumberFormat="1" applyFont="1" applyAlignment="1">
      <alignment horizontal="center" vertical="top"/>
    </xf>
    <xf numFmtId="49" fontId="59" fillId="0" borderId="0" xfId="4" applyNumberFormat="1" applyFont="1" applyAlignment="1">
      <alignment horizontal="center" vertical="center"/>
    </xf>
    <xf numFmtId="4" fontId="41" fillId="0" borderId="0" xfId="4" applyNumberFormat="1" applyFont="1" applyAlignment="1">
      <alignment horizontal="center" vertical="center"/>
    </xf>
    <xf numFmtId="4" fontId="41" fillId="0" borderId="0" xfId="4" applyNumberFormat="1" applyFont="1" applyAlignment="1">
      <alignment horizontal="right" vertical="center"/>
    </xf>
    <xf numFmtId="4" fontId="60" fillId="0" borderId="0" xfId="4" applyNumberFormat="1" applyFont="1" applyAlignment="1">
      <alignment horizontal="center" vertical="center"/>
    </xf>
    <xf numFmtId="3" fontId="41" fillId="0" borderId="0" xfId="4" applyNumberFormat="1" applyFont="1" applyAlignment="1">
      <alignment horizontal="center" vertical="center"/>
    </xf>
    <xf numFmtId="0" fontId="41" fillId="0" borderId="0" xfId="4" applyFont="1" applyAlignment="1">
      <alignment horizontal="center" vertical="top"/>
    </xf>
    <xf numFmtId="0" fontId="59" fillId="0" borderId="0" xfId="4" applyFont="1" applyAlignment="1">
      <alignment horizontal="center" vertical="center"/>
    </xf>
    <xf numFmtId="0" fontId="61" fillId="0" borderId="0" xfId="4" applyFont="1" applyAlignment="1">
      <alignment horizontal="center" vertical="top"/>
    </xf>
    <xf numFmtId="49" fontId="45" fillId="6" borderId="14" xfId="4" applyNumberFormat="1" applyFont="1" applyFill="1" applyBorder="1" applyAlignment="1">
      <alignment vertical="center"/>
    </xf>
    <xf numFmtId="49" fontId="48" fillId="6" borderId="14" xfId="4" applyNumberFormat="1" applyFont="1" applyFill="1" applyBorder="1" applyAlignment="1">
      <alignment horizontal="center" vertical="center"/>
    </xf>
    <xf numFmtId="0" fontId="48" fillId="6" borderId="14" xfId="4" applyFont="1" applyFill="1" applyBorder="1" applyAlignment="1">
      <alignment horizontal="center" vertical="center" wrapText="1"/>
    </xf>
    <xf numFmtId="4" fontId="45" fillId="0" borderId="0" xfId="4" applyNumberFormat="1" applyFont="1"/>
    <xf numFmtId="3" fontId="45" fillId="0" borderId="0" xfId="4" applyNumberFormat="1" applyFont="1"/>
    <xf numFmtId="0" fontId="62" fillId="0" borderId="0" xfId="14" applyFont="1"/>
    <xf numFmtId="0" fontId="63" fillId="0" borderId="0" xfId="14" applyFont="1"/>
    <xf numFmtId="4" fontId="64" fillId="2" borderId="12" xfId="2" applyNumberFormat="1" applyFont="1" applyFill="1" applyBorder="1" applyAlignment="1">
      <alignment horizontal="right" vertical="center"/>
    </xf>
    <xf numFmtId="3" fontId="64" fillId="5" borderId="5" xfId="2" applyNumberFormat="1" applyFont="1" applyFill="1" applyBorder="1" applyAlignment="1">
      <alignment horizontal="right" vertical="center"/>
    </xf>
    <xf numFmtId="4" fontId="50" fillId="5" borderId="21" xfId="2" applyNumberFormat="1" applyFont="1" applyFill="1" applyBorder="1" applyAlignment="1">
      <alignment horizontal="right" vertical="center"/>
    </xf>
    <xf numFmtId="4" fontId="50" fillId="5" borderId="27" xfId="2" applyNumberFormat="1" applyFont="1" applyFill="1" applyBorder="1" applyAlignment="1">
      <alignment horizontal="right" vertical="center"/>
    </xf>
    <xf numFmtId="3" fontId="56" fillId="5" borderId="16" xfId="2" applyNumberFormat="1" applyFont="1" applyFill="1" applyBorder="1" applyAlignment="1">
      <alignment horizontal="right" vertical="center"/>
    </xf>
    <xf numFmtId="3" fontId="56" fillId="5" borderId="34" xfId="2" applyNumberFormat="1" applyFont="1" applyFill="1" applyBorder="1" applyAlignment="1">
      <alignment horizontal="right" vertical="center"/>
    </xf>
    <xf numFmtId="3" fontId="36" fillId="0" borderId="0" xfId="3" applyNumberFormat="1" applyFont="1" applyBorder="1" applyAlignment="1">
      <alignment horizontal="right" vertical="center"/>
    </xf>
    <xf numFmtId="3" fontId="34" fillId="0" borderId="0" xfId="3" applyNumberFormat="1" applyFont="1" applyBorder="1" applyAlignment="1">
      <alignment horizontal="right" vertical="center"/>
    </xf>
    <xf numFmtId="0" fontId="23" fillId="0" borderId="16" xfId="4" applyFont="1" applyBorder="1" applyAlignment="1">
      <alignment horizontal="center" vertical="center" wrapText="1"/>
    </xf>
    <xf numFmtId="0" fontId="25" fillId="6" borderId="14" xfId="4" applyFont="1" applyFill="1" applyBorder="1" applyAlignment="1">
      <alignment horizontal="center" vertical="center" wrapText="1"/>
    </xf>
    <xf numFmtId="3" fontId="36" fillId="0" borderId="95" xfId="2" applyNumberFormat="1" applyFont="1" applyBorder="1" applyAlignment="1">
      <alignment horizontal="right" vertical="center"/>
    </xf>
    <xf numFmtId="3" fontId="7" fillId="5" borderId="5" xfId="2" applyNumberFormat="1" applyFont="1" applyFill="1" applyBorder="1" applyAlignment="1">
      <alignment horizontal="right" vertical="center"/>
    </xf>
    <xf numFmtId="0" fontId="16" fillId="0" borderId="14" xfId="4" applyFont="1" applyBorder="1" applyAlignment="1">
      <alignment vertical="center" wrapText="1"/>
    </xf>
    <xf numFmtId="3" fontId="33" fillId="5" borderId="95" xfId="2" applyNumberFormat="1" applyFont="1" applyFill="1" applyBorder="1" applyAlignment="1">
      <alignment horizontal="right" vertical="center"/>
    </xf>
    <xf numFmtId="3" fontId="31" fillId="0" borderId="14" xfId="2" applyNumberFormat="1" applyFont="1" applyBorder="1" applyAlignment="1">
      <alignment horizontal="right" vertical="center"/>
    </xf>
    <xf numFmtId="4" fontId="34" fillId="3" borderId="4" xfId="2" applyNumberFormat="1" applyFont="1" applyFill="1" applyBorder="1" applyAlignment="1">
      <alignment horizontal="right" vertical="center"/>
    </xf>
    <xf numFmtId="3" fontId="33" fillId="0" borderId="8" xfId="2" applyNumberFormat="1" applyFont="1" applyBorder="1" applyAlignment="1">
      <alignment horizontal="right" vertical="center"/>
    </xf>
    <xf numFmtId="4" fontId="33" fillId="5" borderId="95" xfId="2" applyNumberFormat="1" applyFont="1" applyFill="1" applyBorder="1" applyAlignment="1">
      <alignment horizontal="right" vertical="center"/>
    </xf>
    <xf numFmtId="4" fontId="34" fillId="4" borderId="4" xfId="2" applyNumberFormat="1" applyFont="1" applyFill="1" applyBorder="1" applyAlignment="1">
      <alignment horizontal="right" vertical="center"/>
    </xf>
    <xf numFmtId="3" fontId="64" fillId="2" borderId="12" xfId="2" applyNumberFormat="1" applyFont="1" applyFill="1" applyBorder="1" applyAlignment="1">
      <alignment horizontal="right" vertical="center"/>
    </xf>
    <xf numFmtId="3" fontId="50" fillId="5" borderId="21" xfId="2" applyNumberFormat="1" applyFont="1" applyFill="1" applyBorder="1" applyAlignment="1">
      <alignment horizontal="right" vertical="center"/>
    </xf>
    <xf numFmtId="3" fontId="31" fillId="5" borderId="21" xfId="2" applyNumberFormat="1" applyFont="1" applyFill="1" applyBorder="1" applyAlignment="1">
      <alignment horizontal="right" vertical="center"/>
    </xf>
    <xf numFmtId="3" fontId="50" fillId="5" borderId="27" xfId="2" applyNumberFormat="1" applyFont="1" applyFill="1" applyBorder="1" applyAlignment="1">
      <alignment horizontal="right" vertical="center"/>
    </xf>
    <xf numFmtId="0" fontId="66" fillId="5" borderId="24" xfId="4" applyFont="1" applyFill="1" applyBorder="1" applyAlignment="1">
      <alignment horizontal="left" vertical="center"/>
    </xf>
    <xf numFmtId="0" fontId="66" fillId="5" borderId="15" xfId="4" applyFont="1" applyFill="1" applyBorder="1" applyAlignment="1">
      <alignment horizontal="left" vertical="center"/>
    </xf>
    <xf numFmtId="0" fontId="67" fillId="5" borderId="33" xfId="4" applyFont="1" applyFill="1" applyBorder="1" applyAlignment="1">
      <alignment horizontal="left" vertical="center"/>
    </xf>
    <xf numFmtId="0" fontId="67" fillId="5" borderId="36" xfId="4" applyFont="1" applyFill="1" applyBorder="1" applyAlignment="1">
      <alignment horizontal="left" vertical="center"/>
    </xf>
    <xf numFmtId="0" fontId="67" fillId="5" borderId="23" xfId="4" applyFont="1" applyFill="1" applyBorder="1" applyAlignment="1">
      <alignment horizontal="left" vertical="center"/>
    </xf>
    <xf numFmtId="0" fontId="67" fillId="5" borderId="34" xfId="4" applyFont="1" applyFill="1" applyBorder="1" applyAlignment="1">
      <alignment horizontal="left" vertical="center"/>
    </xf>
    <xf numFmtId="0" fontId="67" fillId="5" borderId="39" xfId="4" applyFont="1" applyFill="1" applyBorder="1" applyAlignment="1">
      <alignment horizontal="left" vertical="center"/>
    </xf>
    <xf numFmtId="0" fontId="67" fillId="5" borderId="35" xfId="4" applyFont="1" applyFill="1" applyBorder="1" applyAlignment="1">
      <alignment horizontal="left" vertical="center"/>
    </xf>
    <xf numFmtId="0" fontId="25" fillId="6" borderId="7" xfId="4" applyFont="1" applyFill="1" applyBorder="1" applyAlignment="1">
      <alignment horizontal="center" vertical="center" wrapText="1"/>
    </xf>
    <xf numFmtId="3" fontId="31" fillId="6" borderId="14" xfId="3" applyNumberFormat="1" applyFont="1" applyFill="1" applyBorder="1" applyAlignment="1">
      <alignment horizontal="right" vertical="center"/>
    </xf>
    <xf numFmtId="4" fontId="16" fillId="5" borderId="36" xfId="2" applyNumberFormat="1" applyFont="1" applyFill="1" applyBorder="1" applyAlignment="1">
      <alignment horizontal="right" vertical="center"/>
    </xf>
    <xf numFmtId="4" fontId="36" fillId="0" borderId="0" xfId="3" applyNumberFormat="1" applyFont="1" applyBorder="1" applyAlignment="1">
      <alignment horizontal="right" vertical="center"/>
    </xf>
    <xf numFmtId="10" fontId="68" fillId="2" borderId="2" xfId="1" applyNumberFormat="1" applyFont="1" applyFill="1" applyBorder="1" applyAlignment="1">
      <alignment horizontal="right" vertical="center"/>
    </xf>
    <xf numFmtId="10" fontId="11" fillId="5" borderId="16" xfId="1" applyNumberFormat="1" applyFont="1" applyFill="1" applyBorder="1" applyAlignment="1">
      <alignment horizontal="right" vertical="center"/>
    </xf>
    <xf numFmtId="10" fontId="68" fillId="5" borderId="20" xfId="1" applyNumberFormat="1" applyFont="1" applyFill="1" applyBorder="1" applyAlignment="1">
      <alignment horizontal="right" vertical="center"/>
    </xf>
    <xf numFmtId="10" fontId="68" fillId="5" borderId="9" xfId="1" applyNumberFormat="1" applyFont="1" applyFill="1" applyBorder="1" applyAlignment="1">
      <alignment horizontal="right" vertical="center"/>
    </xf>
    <xf numFmtId="0" fontId="70" fillId="0" borderId="0" xfId="2" applyFont="1" applyAlignment="1">
      <alignment vertical="center" wrapText="1"/>
    </xf>
    <xf numFmtId="3" fontId="5" fillId="0" borderId="0" xfId="2" applyNumberFormat="1" applyFont="1" applyAlignment="1">
      <alignment horizontal="right" vertical="center"/>
    </xf>
    <xf numFmtId="0" fontId="6" fillId="0" borderId="1" xfId="2" applyFont="1" applyBorder="1" applyAlignment="1">
      <alignment horizontal="right"/>
    </xf>
    <xf numFmtId="3" fontId="5" fillId="0" borderId="20" xfId="2" applyNumberFormat="1" applyFont="1" applyBorder="1" applyAlignment="1">
      <alignment horizontal="right" vertical="center"/>
    </xf>
    <xf numFmtId="4" fontId="5" fillId="0" borderId="21" xfId="2" applyNumberFormat="1" applyFont="1" applyBorder="1" applyAlignment="1">
      <alignment horizontal="right" vertical="center"/>
    </xf>
    <xf numFmtId="10" fontId="14" fillId="0" borderId="20" xfId="1" applyNumberFormat="1" applyFont="1" applyFill="1" applyBorder="1" applyAlignment="1">
      <alignment horizontal="right" vertical="center"/>
    </xf>
    <xf numFmtId="49" fontId="5" fillId="6" borderId="20" xfId="2" applyNumberFormat="1" applyFont="1" applyFill="1" applyBorder="1" applyAlignment="1">
      <alignment horizontal="center" vertical="center" wrapText="1"/>
    </xf>
    <xf numFmtId="49" fontId="5" fillId="6" borderId="14" xfId="2" applyNumberFormat="1" applyFont="1" applyFill="1" applyBorder="1" applyAlignment="1">
      <alignment horizontal="center" vertical="center" wrapText="1"/>
    </xf>
    <xf numFmtId="0" fontId="12" fillId="4" borderId="12" xfId="2" applyFont="1" applyFill="1" applyBorder="1" applyAlignment="1">
      <alignment vertical="center" wrapText="1"/>
    </xf>
    <xf numFmtId="0" fontId="13" fillId="0" borderId="7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3" fontId="14" fillId="0" borderId="14" xfId="3" applyNumberFormat="1" applyFont="1" applyFill="1" applyBorder="1" applyAlignment="1">
      <alignment horizontal="right" vertical="center"/>
    </xf>
    <xf numFmtId="3" fontId="14" fillId="0" borderId="20" xfId="3" applyNumberFormat="1" applyFont="1" applyFill="1" applyBorder="1" applyAlignment="1">
      <alignment horizontal="right" vertical="center"/>
    </xf>
    <xf numFmtId="10" fontId="11" fillId="4" borderId="2" xfId="1" applyNumberFormat="1" applyFont="1" applyFill="1" applyBorder="1" applyAlignment="1">
      <alignment horizontal="right" vertical="center"/>
    </xf>
    <xf numFmtId="10" fontId="7" fillId="5" borderId="16" xfId="1" applyNumberFormat="1" applyFont="1" applyFill="1" applyBorder="1" applyAlignment="1">
      <alignment horizontal="right" vertical="center"/>
    </xf>
    <xf numFmtId="3" fontId="11" fillId="3" borderId="3" xfId="2" applyNumberFormat="1" applyFont="1" applyFill="1" applyBorder="1" applyAlignment="1">
      <alignment horizontal="right" vertical="center"/>
    </xf>
    <xf numFmtId="4" fontId="11" fillId="3" borderId="4" xfId="2" applyNumberFormat="1" applyFont="1" applyFill="1" applyBorder="1" applyAlignment="1">
      <alignment horizontal="right" vertical="center"/>
    </xf>
    <xf numFmtId="10" fontId="11" fillId="3" borderId="3" xfId="1" applyNumberFormat="1" applyFont="1" applyFill="1" applyBorder="1" applyAlignment="1">
      <alignment horizontal="right" vertical="center"/>
    </xf>
    <xf numFmtId="0" fontId="5" fillId="0" borderId="22" xfId="2" applyFont="1" applyBorder="1" applyAlignment="1">
      <alignment vertical="center" wrapText="1"/>
    </xf>
    <xf numFmtId="49" fontId="5" fillId="6" borderId="18" xfId="2" applyNumberFormat="1" applyFont="1" applyFill="1" applyBorder="1" applyAlignment="1">
      <alignment horizontal="center" vertical="center" wrapText="1"/>
    </xf>
    <xf numFmtId="3" fontId="5" fillId="0" borderId="54" xfId="2" applyNumberFormat="1" applyFont="1" applyBorder="1" applyAlignment="1">
      <alignment horizontal="right" vertical="center"/>
    </xf>
    <xf numFmtId="0" fontId="5" fillId="0" borderId="1" xfId="2" quotePrefix="1" applyFont="1" applyBorder="1" applyAlignment="1">
      <alignment horizontal="left" vertical="center" wrapText="1"/>
    </xf>
    <xf numFmtId="49" fontId="5" fillId="6" borderId="7" xfId="2" applyNumberFormat="1" applyFont="1" applyFill="1" applyBorder="1" applyAlignment="1">
      <alignment horizontal="center" vertical="center" wrapText="1"/>
    </xf>
    <xf numFmtId="3" fontId="7" fillId="0" borderId="10" xfId="2" applyNumberFormat="1" applyFont="1" applyBorder="1" applyAlignment="1">
      <alignment horizontal="right" vertical="center"/>
    </xf>
    <xf numFmtId="3" fontId="5" fillId="0" borderId="7" xfId="2" applyNumberFormat="1" applyFont="1" applyBorder="1" applyAlignment="1">
      <alignment horizontal="right" vertical="center"/>
    </xf>
    <xf numFmtId="4" fontId="5" fillId="0" borderId="7" xfId="2" applyNumberFormat="1" applyFont="1" applyBorder="1" applyAlignment="1">
      <alignment horizontal="right" vertical="center"/>
    </xf>
    <xf numFmtId="10" fontId="14" fillId="0" borderId="7" xfId="1" applyNumberFormat="1" applyFont="1" applyFill="1" applyBorder="1" applyAlignment="1">
      <alignment horizontal="right" vertical="center"/>
    </xf>
    <xf numFmtId="0" fontId="5" fillId="6" borderId="94" xfId="2" quotePrefix="1" applyFont="1" applyFill="1" applyBorder="1" applyAlignment="1">
      <alignment horizontal="left" vertical="center" wrapText="1"/>
    </xf>
    <xf numFmtId="0" fontId="5" fillId="0" borderId="14" xfId="2" quotePrefix="1" applyFont="1" applyBorder="1" applyAlignment="1">
      <alignment horizontal="center" vertical="center" wrapText="1"/>
    </xf>
    <xf numFmtId="3" fontId="14" fillId="0" borderId="30" xfId="2" applyNumberFormat="1" applyFont="1" applyBorder="1" applyAlignment="1">
      <alignment horizontal="right" vertical="center"/>
    </xf>
    <xf numFmtId="49" fontId="8" fillId="3" borderId="2" xfId="2" applyNumberFormat="1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49" fontId="8" fillId="3" borderId="4" xfId="2" applyNumberFormat="1" applyFont="1" applyFill="1" applyBorder="1" applyAlignment="1">
      <alignment horizontal="left" vertical="center" wrapText="1"/>
    </xf>
    <xf numFmtId="49" fontId="8" fillId="3" borderId="3" xfId="2" applyNumberFormat="1" applyFont="1" applyFill="1" applyBorder="1" applyAlignment="1">
      <alignment horizontal="left" vertical="center" wrapText="1"/>
    </xf>
    <xf numFmtId="4" fontId="8" fillId="3" borderId="2" xfId="2" applyNumberFormat="1" applyFont="1" applyFill="1" applyBorder="1" applyAlignment="1">
      <alignment horizontal="right" vertical="center"/>
    </xf>
    <xf numFmtId="3" fontId="7" fillId="5" borderId="30" xfId="2" applyNumberFormat="1" applyFont="1" applyFill="1" applyBorder="1" applyAlignment="1">
      <alignment horizontal="right" vertical="center"/>
    </xf>
    <xf numFmtId="4" fontId="7" fillId="5" borderId="30" xfId="2" applyNumberFormat="1" applyFont="1" applyFill="1" applyBorder="1" applyAlignment="1">
      <alignment horizontal="right" vertical="center"/>
    </xf>
    <xf numFmtId="3" fontId="8" fillId="3" borderId="3" xfId="2" applyNumberFormat="1" applyFont="1" applyFill="1" applyBorder="1" applyAlignment="1">
      <alignment horizontal="right" vertical="center"/>
    </xf>
    <xf numFmtId="3" fontId="14" fillId="0" borderId="105" xfId="2" applyNumberFormat="1" applyFont="1" applyBorder="1" applyAlignment="1">
      <alignment horizontal="right" vertical="center"/>
    </xf>
    <xf numFmtId="3" fontId="7" fillId="5" borderId="16" xfId="2" applyNumberFormat="1" applyFont="1" applyFill="1" applyBorder="1" applyAlignment="1">
      <alignment horizontal="right" vertical="center"/>
    </xf>
    <xf numFmtId="4" fontId="7" fillId="5" borderId="17" xfId="2" applyNumberFormat="1" applyFont="1" applyFill="1" applyBorder="1" applyAlignment="1">
      <alignment horizontal="right" vertical="center"/>
    </xf>
    <xf numFmtId="0" fontId="13" fillId="6" borderId="7" xfId="4" applyFont="1" applyFill="1" applyBorder="1" applyAlignment="1">
      <alignment horizontal="center" vertical="center" wrapText="1"/>
    </xf>
    <xf numFmtId="0" fontId="3" fillId="0" borderId="0" xfId="2" applyAlignment="1">
      <alignment horizontal="left"/>
    </xf>
    <xf numFmtId="49" fontId="5" fillId="0" borderId="14" xfId="4" applyNumberFormat="1" applyFont="1" applyBorder="1" applyAlignment="1">
      <alignment horizontal="center" vertical="center" wrapText="1"/>
    </xf>
    <xf numFmtId="3" fontId="14" fillId="6" borderId="20" xfId="2" applyNumberFormat="1" applyFont="1" applyFill="1" applyBorder="1" applyAlignment="1">
      <alignment horizontal="right" vertical="center"/>
    </xf>
    <xf numFmtId="10" fontId="11" fillId="0" borderId="20" xfId="1" applyNumberFormat="1" applyFont="1" applyFill="1" applyBorder="1" applyAlignment="1">
      <alignment horizontal="right" vertical="center"/>
    </xf>
    <xf numFmtId="0" fontId="12" fillId="4" borderId="2" xfId="2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2" fillId="4" borderId="2" xfId="2" applyFont="1" applyFill="1" applyBorder="1" applyAlignment="1">
      <alignment vertical="center" wrapText="1"/>
    </xf>
    <xf numFmtId="3" fontId="11" fillId="4" borderId="3" xfId="2" applyNumberFormat="1" applyFont="1" applyFill="1" applyBorder="1" applyAlignment="1">
      <alignment horizontal="right" vertical="center"/>
    </xf>
    <xf numFmtId="4" fontId="11" fillId="4" borderId="3" xfId="2" applyNumberFormat="1" applyFont="1" applyFill="1" applyBorder="1" applyAlignment="1">
      <alignment horizontal="right" vertical="center"/>
    </xf>
    <xf numFmtId="0" fontId="13" fillId="5" borderId="14" xfId="2" quotePrefix="1" applyFont="1" applyFill="1" applyBorder="1" applyAlignment="1">
      <alignment horizontal="left" vertical="center" wrapText="1"/>
    </xf>
    <xf numFmtId="4" fontId="7" fillId="5" borderId="24" xfId="2" applyNumberFormat="1" applyFont="1" applyFill="1" applyBorder="1" applyAlignment="1">
      <alignment horizontal="right" vertical="center"/>
    </xf>
    <xf numFmtId="49" fontId="13" fillId="5" borderId="9" xfId="2" quotePrefix="1" applyNumberFormat="1" applyFont="1" applyFill="1" applyBorder="1" applyAlignment="1">
      <alignment horizontal="center" vertical="center" wrapText="1"/>
    </xf>
    <xf numFmtId="3" fontId="7" fillId="5" borderId="9" xfId="2" applyNumberFormat="1" applyFont="1" applyFill="1" applyBorder="1" applyAlignment="1">
      <alignment horizontal="right" vertical="center"/>
    </xf>
    <xf numFmtId="4" fontId="13" fillId="5" borderId="27" xfId="2" applyNumberFormat="1" applyFont="1" applyFill="1" applyBorder="1" applyAlignment="1">
      <alignment horizontal="right" vertical="center"/>
    </xf>
    <xf numFmtId="10" fontId="7" fillId="5" borderId="9" xfId="1" applyNumberFormat="1" applyFont="1" applyFill="1" applyBorder="1" applyAlignment="1">
      <alignment horizontal="right" vertical="center"/>
    </xf>
    <xf numFmtId="3" fontId="11" fillId="4" borderId="2" xfId="2" applyNumberFormat="1" applyFont="1" applyFill="1" applyBorder="1" applyAlignment="1">
      <alignment horizontal="right" vertical="center"/>
    </xf>
    <xf numFmtId="4" fontId="11" fillId="4" borderId="12" xfId="2" applyNumberFormat="1" applyFont="1" applyFill="1" applyBorder="1" applyAlignment="1">
      <alignment horizontal="right" vertical="center"/>
    </xf>
    <xf numFmtId="0" fontId="13" fillId="5" borderId="5" xfId="2" quotePrefix="1" applyFont="1" applyFill="1" applyBorder="1" applyAlignment="1">
      <alignment horizontal="left" vertical="center" wrapText="1"/>
    </xf>
    <xf numFmtId="3" fontId="7" fillId="5" borderId="3" xfId="2" applyNumberFormat="1" applyFont="1" applyFill="1" applyBorder="1" applyAlignment="1">
      <alignment horizontal="right" vertical="center"/>
    </xf>
    <xf numFmtId="4" fontId="7" fillId="5" borderId="4" xfId="2" applyNumberFormat="1" applyFont="1" applyFill="1" applyBorder="1" applyAlignment="1">
      <alignment horizontal="right" vertical="center"/>
    </xf>
    <xf numFmtId="0" fontId="5" fillId="0" borderId="0" xfId="2" applyFont="1" applyAlignment="1">
      <alignment vertical="center" wrapText="1"/>
    </xf>
    <xf numFmtId="0" fontId="5" fillId="6" borderId="20" xfId="2" applyFont="1" applyFill="1" applyBorder="1" applyAlignment="1">
      <alignment horizontal="center" vertical="center" wrapText="1"/>
    </xf>
    <xf numFmtId="0" fontId="13" fillId="5" borderId="9" xfId="2" quotePrefix="1" applyFont="1" applyFill="1" applyBorder="1" applyAlignment="1">
      <alignment horizontal="left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3" fontId="11" fillId="3" borderId="2" xfId="2" applyNumberFormat="1" applyFont="1" applyFill="1" applyBorder="1" applyAlignment="1">
      <alignment horizontal="right" vertical="center"/>
    </xf>
    <xf numFmtId="4" fontId="11" fillId="3" borderId="12" xfId="2" applyNumberFormat="1" applyFont="1" applyFill="1" applyBorder="1" applyAlignment="1">
      <alignment horizontal="right" vertical="center"/>
    </xf>
    <xf numFmtId="49" fontId="47" fillId="3" borderId="78" xfId="4" applyNumberFormat="1" applyFont="1" applyFill="1" applyBorder="1" applyAlignment="1">
      <alignment horizontal="center" vertical="center"/>
    </xf>
    <xf numFmtId="49" fontId="47" fillId="3" borderId="78" xfId="4" applyNumberFormat="1" applyFont="1" applyFill="1" applyBorder="1" applyAlignment="1">
      <alignment horizontal="left" vertical="center" wrapText="1"/>
    </xf>
    <xf numFmtId="49" fontId="47" fillId="3" borderId="73" xfId="4" applyNumberFormat="1" applyFont="1" applyFill="1" applyBorder="1" applyAlignment="1">
      <alignment horizontal="center" vertical="center"/>
    </xf>
    <xf numFmtId="3" fontId="47" fillId="3" borderId="78" xfId="4" applyNumberFormat="1" applyFont="1" applyFill="1" applyBorder="1" applyAlignment="1">
      <alignment horizontal="right" vertical="center"/>
    </xf>
    <xf numFmtId="4" fontId="47" fillId="3" borderId="73" xfId="4" applyNumberFormat="1" applyFont="1" applyFill="1" applyBorder="1" applyAlignment="1">
      <alignment horizontal="right" vertical="center"/>
    </xf>
    <xf numFmtId="3" fontId="47" fillId="3" borderId="73" xfId="4" applyNumberFormat="1" applyFont="1" applyFill="1" applyBorder="1" applyAlignment="1">
      <alignment horizontal="right" vertical="center"/>
    </xf>
    <xf numFmtId="4" fontId="47" fillId="3" borderId="79" xfId="4" applyNumberFormat="1" applyFont="1" applyFill="1" applyBorder="1" applyAlignment="1">
      <alignment horizontal="right" vertical="center"/>
    </xf>
    <xf numFmtId="4" fontId="47" fillId="3" borderId="78" xfId="4" applyNumberFormat="1" applyFont="1" applyFill="1" applyBorder="1" applyAlignment="1">
      <alignment horizontal="right" vertical="center"/>
    </xf>
    <xf numFmtId="4" fontId="47" fillId="3" borderId="77" xfId="4" applyNumberFormat="1" applyFont="1" applyFill="1" applyBorder="1" applyAlignment="1">
      <alignment horizontal="right" vertical="center"/>
    </xf>
    <xf numFmtId="49" fontId="46" fillId="6" borderId="56" xfId="4" applyNumberFormat="1" applyFont="1" applyFill="1" applyBorder="1" applyAlignment="1">
      <alignment horizontal="center" vertical="center"/>
    </xf>
    <xf numFmtId="49" fontId="46" fillId="6" borderId="56" xfId="4" applyNumberFormat="1" applyFont="1" applyFill="1" applyBorder="1" applyAlignment="1">
      <alignment horizontal="center" vertical="center" wrapText="1"/>
    </xf>
    <xf numFmtId="49" fontId="46" fillId="6" borderId="73" xfId="4" applyNumberFormat="1" applyFont="1" applyFill="1" applyBorder="1" applyAlignment="1">
      <alignment horizontal="center" vertical="center"/>
    </xf>
    <xf numFmtId="3" fontId="46" fillId="6" borderId="78" xfId="4" applyNumberFormat="1" applyFont="1" applyFill="1" applyBorder="1" applyAlignment="1">
      <alignment horizontal="right" vertical="center" wrapText="1"/>
    </xf>
    <xf numFmtId="4" fontId="46" fillId="6" borderId="73" xfId="4" applyNumberFormat="1" applyFont="1" applyFill="1" applyBorder="1" applyAlignment="1">
      <alignment horizontal="right" vertical="center" wrapText="1"/>
    </xf>
    <xf numFmtId="49" fontId="46" fillId="6" borderId="16" xfId="4" applyNumberFormat="1" applyFont="1" applyFill="1" applyBorder="1" applyAlignment="1">
      <alignment horizontal="center" vertical="center"/>
    </xf>
    <xf numFmtId="3" fontId="46" fillId="6" borderId="44" xfId="4" applyNumberFormat="1" applyFont="1" applyFill="1" applyBorder="1" applyAlignment="1">
      <alignment horizontal="right" vertical="center"/>
    </xf>
    <xf numFmtId="4" fontId="46" fillId="6" borderId="25" xfId="4" applyNumberFormat="1" applyFont="1" applyFill="1" applyBorder="1" applyAlignment="1">
      <alignment vertical="center"/>
    </xf>
    <xf numFmtId="4" fontId="46" fillId="6" borderId="16" xfId="4" applyNumberFormat="1" applyFont="1" applyFill="1" applyBorder="1" applyAlignment="1">
      <alignment vertical="center"/>
    </xf>
    <xf numFmtId="4" fontId="46" fillId="6" borderId="80" xfId="4" applyNumberFormat="1" applyFont="1" applyFill="1" applyBorder="1" applyAlignment="1">
      <alignment horizontal="right" vertical="center"/>
    </xf>
    <xf numFmtId="49" fontId="46" fillId="6" borderId="78" xfId="4" applyNumberFormat="1" applyFont="1" applyFill="1" applyBorder="1" applyAlignment="1">
      <alignment horizontal="center" vertical="center"/>
    </xf>
    <xf numFmtId="3" fontId="46" fillId="6" borderId="73" xfId="4" applyNumberFormat="1" applyFont="1" applyFill="1" applyBorder="1" applyAlignment="1">
      <alignment horizontal="right" vertical="center"/>
    </xf>
    <xf numFmtId="4" fontId="46" fillId="6" borderId="57" xfId="4" applyNumberFormat="1" applyFont="1" applyFill="1" applyBorder="1" applyAlignment="1">
      <alignment vertical="center"/>
    </xf>
    <xf numFmtId="4" fontId="46" fillId="6" borderId="9" xfId="4" applyNumberFormat="1" applyFont="1" applyFill="1" applyBorder="1" applyAlignment="1">
      <alignment vertical="center"/>
    </xf>
    <xf numFmtId="4" fontId="46" fillId="6" borderId="77" xfId="4" applyNumberFormat="1" applyFont="1" applyFill="1" applyBorder="1" applyAlignment="1">
      <alignment horizontal="right" vertical="center"/>
    </xf>
    <xf numFmtId="4" fontId="33" fillId="0" borderId="0" xfId="4" applyNumberFormat="1" applyFont="1"/>
    <xf numFmtId="49" fontId="72" fillId="5" borderId="75" xfId="4" applyNumberFormat="1" applyFont="1" applyFill="1" applyBorder="1" applyAlignment="1">
      <alignment horizontal="center" vertical="center"/>
    </xf>
    <xf numFmtId="4" fontId="50" fillId="5" borderId="4" xfId="4" applyNumberFormat="1" applyFont="1" applyFill="1" applyBorder="1" applyAlignment="1">
      <alignment horizontal="right" vertical="center"/>
    </xf>
    <xf numFmtId="4" fontId="46" fillId="6" borderId="7" xfId="4" applyNumberFormat="1" applyFont="1" applyFill="1" applyBorder="1" applyAlignment="1">
      <alignment vertical="center"/>
    </xf>
    <xf numFmtId="49" fontId="46" fillId="6" borderId="14" xfId="4" applyNumberFormat="1" applyFont="1" applyFill="1" applyBorder="1" applyAlignment="1">
      <alignment vertical="center" wrapText="1"/>
    </xf>
    <xf numFmtId="49" fontId="46" fillId="6" borderId="7" xfId="4" applyNumberFormat="1" applyFont="1" applyFill="1" applyBorder="1" applyAlignment="1">
      <alignment horizontal="center" vertical="center"/>
    </xf>
    <xf numFmtId="49" fontId="46" fillId="6" borderId="7" xfId="4" applyNumberFormat="1" applyFont="1" applyFill="1" applyBorder="1" applyAlignment="1">
      <alignment vertical="center" wrapText="1"/>
    </xf>
    <xf numFmtId="49" fontId="72" fillId="5" borderId="76" xfId="4" applyNumberFormat="1" applyFont="1" applyFill="1" applyBorder="1" applyAlignment="1">
      <alignment horizontal="center" vertical="center"/>
    </xf>
    <xf numFmtId="0" fontId="72" fillId="5" borderId="75" xfId="4" applyFont="1" applyFill="1" applyBorder="1" applyAlignment="1">
      <alignment vertical="center" wrapText="1"/>
    </xf>
    <xf numFmtId="3" fontId="50" fillId="5" borderId="75" xfId="4" applyNumberFormat="1" applyFont="1" applyFill="1" applyBorder="1" applyAlignment="1">
      <alignment horizontal="right" vertical="center"/>
    </xf>
    <xf numFmtId="4" fontId="50" fillId="5" borderId="74" xfId="4" applyNumberFormat="1" applyFont="1" applyFill="1" applyBorder="1" applyAlignment="1">
      <alignment horizontal="right" vertical="center"/>
    </xf>
    <xf numFmtId="3" fontId="50" fillId="5" borderId="74" xfId="4" applyNumberFormat="1" applyFont="1" applyFill="1" applyBorder="1" applyAlignment="1">
      <alignment horizontal="right" vertical="center"/>
    </xf>
    <xf numFmtId="4" fontId="72" fillId="5" borderId="75" xfId="4" applyNumberFormat="1" applyFont="1" applyFill="1" applyBorder="1" applyAlignment="1">
      <alignment vertical="center" wrapText="1"/>
    </xf>
    <xf numFmtId="4" fontId="72" fillId="5" borderId="74" xfId="4" applyNumberFormat="1" applyFont="1" applyFill="1" applyBorder="1" applyAlignment="1">
      <alignment horizontal="right" vertical="center" wrapText="1"/>
    </xf>
    <xf numFmtId="4" fontId="72" fillId="5" borderId="75" xfId="4" applyNumberFormat="1" applyFont="1" applyFill="1" applyBorder="1" applyAlignment="1">
      <alignment horizontal="right" vertical="center" wrapText="1"/>
    </xf>
    <xf numFmtId="0" fontId="72" fillId="5" borderId="75" xfId="4" applyFont="1" applyFill="1" applyBorder="1" applyAlignment="1">
      <alignment horizontal="center" vertical="center"/>
    </xf>
    <xf numFmtId="49" fontId="46" fillId="6" borderId="1" xfId="4" applyNumberFormat="1" applyFont="1" applyFill="1" applyBorder="1" applyAlignment="1">
      <alignment horizontal="center" vertical="center"/>
    </xf>
    <xf numFmtId="49" fontId="46" fillId="6" borderId="7" xfId="4" applyNumberFormat="1" applyFont="1" applyFill="1" applyBorder="1" applyAlignment="1">
      <alignment horizontal="left" vertical="center" wrapText="1"/>
    </xf>
    <xf numFmtId="3" fontId="46" fillId="6" borderId="7" xfId="4" applyNumberFormat="1" applyFont="1" applyFill="1" applyBorder="1" applyAlignment="1">
      <alignment horizontal="right" vertical="center" wrapText="1"/>
    </xf>
    <xf numFmtId="4" fontId="46" fillId="6" borderId="1" xfId="4" applyNumberFormat="1" applyFont="1" applyFill="1" applyBorder="1" applyAlignment="1">
      <alignment horizontal="right" vertical="center" wrapText="1"/>
    </xf>
    <xf numFmtId="4" fontId="46" fillId="6" borderId="7" xfId="4" applyNumberFormat="1" applyFont="1" applyFill="1" applyBorder="1" applyAlignment="1">
      <alignment horizontal="right" vertical="center" wrapText="1"/>
    </xf>
    <xf numFmtId="0" fontId="46" fillId="6" borderId="7" xfId="4" applyFont="1" applyFill="1" applyBorder="1" applyAlignment="1">
      <alignment horizontal="left" vertical="center" wrapText="1"/>
    </xf>
    <xf numFmtId="49" fontId="47" fillId="0" borderId="14" xfId="4" applyNumberFormat="1" applyFont="1" applyBorder="1" applyAlignment="1">
      <alignment horizontal="center" vertical="center"/>
    </xf>
    <xf numFmtId="0" fontId="33" fillId="6" borderId="0" xfId="4" applyFont="1" applyFill="1"/>
    <xf numFmtId="3" fontId="46" fillId="6" borderId="5" xfId="4" applyNumberFormat="1" applyFont="1" applyFill="1" applyBorder="1" applyAlignment="1">
      <alignment vertical="center" wrapText="1"/>
    </xf>
    <xf numFmtId="4" fontId="46" fillId="6" borderId="5" xfId="4" applyNumberFormat="1" applyFont="1" applyFill="1" applyBorder="1" applyAlignment="1">
      <alignment vertical="center" wrapText="1"/>
    </xf>
    <xf numFmtId="49" fontId="46" fillId="6" borderId="5" xfId="4" applyNumberFormat="1" applyFont="1" applyFill="1" applyBorder="1" applyAlignment="1">
      <alignment horizontal="center" vertical="center"/>
    </xf>
    <xf numFmtId="4" fontId="46" fillId="6" borderId="5" xfId="4" applyNumberFormat="1" applyFont="1" applyFill="1" applyBorder="1" applyAlignment="1">
      <alignment horizontal="right" vertical="center" wrapText="1"/>
    </xf>
    <xf numFmtId="0" fontId="46" fillId="6" borderId="5" xfId="4" applyFont="1" applyFill="1" applyBorder="1" applyAlignment="1">
      <alignment horizontal="left" vertical="center" wrapText="1"/>
    </xf>
    <xf numFmtId="49" fontId="46" fillId="6" borderId="10" xfId="4" applyNumberFormat="1" applyFont="1" applyFill="1" applyBorder="1" applyAlignment="1">
      <alignment horizontal="center" vertical="center"/>
    </xf>
    <xf numFmtId="3" fontId="46" fillId="6" borderId="1" xfId="4" applyNumberFormat="1" applyFont="1" applyFill="1" applyBorder="1" applyAlignment="1">
      <alignment horizontal="right" vertical="center" wrapText="1"/>
    </xf>
    <xf numFmtId="4" fontId="46" fillId="6" borderId="7" xfId="4" applyNumberFormat="1" applyFont="1" applyFill="1" applyBorder="1" applyAlignment="1">
      <alignment vertical="center" wrapText="1"/>
    </xf>
    <xf numFmtId="49" fontId="72" fillId="5" borderId="86" xfId="4" applyNumberFormat="1" applyFont="1" applyFill="1" applyBorder="1" applyAlignment="1">
      <alignment horizontal="center" vertical="center"/>
    </xf>
    <xf numFmtId="0" fontId="72" fillId="5" borderId="2" xfId="4" applyFont="1" applyFill="1" applyBorder="1" applyAlignment="1">
      <alignment vertical="center" wrapText="1"/>
    </xf>
    <xf numFmtId="49" fontId="72" fillId="5" borderId="2" xfId="4" applyNumberFormat="1" applyFont="1" applyFill="1" applyBorder="1" applyAlignment="1">
      <alignment horizontal="center" vertical="center"/>
    </xf>
    <xf numFmtId="3" fontId="50" fillId="5" borderId="2" xfId="4" applyNumberFormat="1" applyFont="1" applyFill="1" applyBorder="1" applyAlignment="1">
      <alignment horizontal="right" vertical="center"/>
    </xf>
    <xf numFmtId="4" fontId="50" fillId="5" borderId="93" xfId="4" applyNumberFormat="1" applyFont="1" applyFill="1" applyBorder="1" applyAlignment="1">
      <alignment horizontal="right" vertical="center"/>
    </xf>
    <xf numFmtId="3" fontId="50" fillId="5" borderId="93" xfId="4" applyNumberFormat="1" applyFont="1" applyFill="1" applyBorder="1" applyAlignment="1">
      <alignment horizontal="right" vertical="center"/>
    </xf>
    <xf numFmtId="4" fontId="72" fillId="5" borderId="2" xfId="4" applyNumberFormat="1" applyFont="1" applyFill="1" applyBorder="1" applyAlignment="1">
      <alignment vertical="center" wrapText="1"/>
    </xf>
    <xf numFmtId="4" fontId="72" fillId="5" borderId="93" xfId="4" applyNumberFormat="1" applyFont="1" applyFill="1" applyBorder="1" applyAlignment="1">
      <alignment horizontal="right" vertical="center" wrapText="1"/>
    </xf>
    <xf numFmtId="4" fontId="72" fillId="5" borderId="2" xfId="4" applyNumberFormat="1" applyFont="1" applyFill="1" applyBorder="1" applyAlignment="1">
      <alignment horizontal="right" vertical="center" wrapText="1"/>
    </xf>
    <xf numFmtId="3" fontId="46" fillId="6" borderId="102" xfId="4" applyNumberFormat="1" applyFont="1" applyFill="1" applyBorder="1" applyAlignment="1">
      <alignment horizontal="right" vertical="center" wrapText="1"/>
    </xf>
    <xf numFmtId="4" fontId="46" fillId="6" borderId="102" xfId="4" applyNumberFormat="1" applyFont="1" applyFill="1" applyBorder="1" applyAlignment="1">
      <alignment horizontal="right" vertical="center" wrapText="1"/>
    </xf>
    <xf numFmtId="49" fontId="47" fillId="10" borderId="75" xfId="4" applyNumberFormat="1" applyFont="1" applyFill="1" applyBorder="1" applyAlignment="1">
      <alignment horizontal="center" vertical="center"/>
    </xf>
    <xf numFmtId="0" fontId="73" fillId="10" borderId="74" xfId="4" applyFont="1" applyFill="1" applyBorder="1" applyAlignment="1">
      <alignment horizontal="center"/>
    </xf>
    <xf numFmtId="0" fontId="47" fillId="10" borderId="75" xfId="4" applyFont="1" applyFill="1" applyBorder="1" applyAlignment="1">
      <alignment vertical="center" wrapText="1"/>
    </xf>
    <xf numFmtId="0" fontId="73" fillId="10" borderId="75" xfId="4" applyFont="1" applyFill="1" applyBorder="1" applyAlignment="1">
      <alignment horizontal="center"/>
    </xf>
    <xf numFmtId="3" fontId="47" fillId="10" borderId="75" xfId="4" applyNumberFormat="1" applyFont="1" applyFill="1" applyBorder="1" applyAlignment="1">
      <alignment horizontal="right" vertical="center" wrapText="1"/>
    </xf>
    <xf numFmtId="4" fontId="47" fillId="10" borderId="75" xfId="4" applyNumberFormat="1" applyFont="1" applyFill="1" applyBorder="1" applyAlignment="1">
      <alignment horizontal="right" vertical="center" wrapText="1"/>
    </xf>
    <xf numFmtId="4" fontId="47" fillId="10" borderId="76" xfId="4" applyNumberFormat="1" applyFont="1" applyFill="1" applyBorder="1" applyAlignment="1">
      <alignment horizontal="right" vertical="center" wrapText="1"/>
    </xf>
    <xf numFmtId="0" fontId="47" fillId="10" borderId="75" xfId="4" applyFont="1" applyFill="1" applyBorder="1" applyAlignment="1">
      <alignment horizontal="center" vertical="center"/>
    </xf>
    <xf numFmtId="3" fontId="36" fillId="6" borderId="0" xfId="4" applyNumberFormat="1" applyFont="1" applyFill="1"/>
    <xf numFmtId="49" fontId="72" fillId="5" borderId="8" xfId="4" applyNumberFormat="1" applyFont="1" applyFill="1" applyBorder="1" applyAlignment="1">
      <alignment horizontal="center" vertical="center"/>
    </xf>
    <xf numFmtId="0" fontId="72" fillId="5" borderId="7" xfId="4" applyFont="1" applyFill="1" applyBorder="1" applyAlignment="1">
      <alignment vertical="center" wrapText="1"/>
    </xf>
    <xf numFmtId="49" fontId="72" fillId="5" borderId="7" xfId="4" applyNumberFormat="1" applyFont="1" applyFill="1" applyBorder="1" applyAlignment="1">
      <alignment horizontal="center" vertical="center"/>
    </xf>
    <xf numFmtId="3" fontId="50" fillId="5" borderId="7" xfId="4" applyNumberFormat="1" applyFont="1" applyFill="1" applyBorder="1" applyAlignment="1">
      <alignment horizontal="right" vertical="center"/>
    </xf>
    <xf numFmtId="4" fontId="50" fillId="5" borderId="1" xfId="4" applyNumberFormat="1" applyFont="1" applyFill="1" applyBorder="1" applyAlignment="1">
      <alignment horizontal="right" vertical="center"/>
    </xf>
    <xf numFmtId="3" fontId="50" fillId="5" borderId="1" xfId="4" applyNumberFormat="1" applyFont="1" applyFill="1" applyBorder="1" applyAlignment="1">
      <alignment horizontal="right" vertical="center"/>
    </xf>
    <xf numFmtId="4" fontId="72" fillId="5" borderId="7" xfId="4" applyNumberFormat="1" applyFont="1" applyFill="1" applyBorder="1" applyAlignment="1">
      <alignment vertical="center" wrapText="1"/>
    </xf>
    <xf numFmtId="4" fontId="72" fillId="5" borderId="1" xfId="4" applyNumberFormat="1" applyFont="1" applyFill="1" applyBorder="1" applyAlignment="1">
      <alignment horizontal="right" vertical="center" wrapText="1"/>
    </xf>
    <xf numFmtId="4" fontId="72" fillId="5" borderId="7" xfId="4" applyNumberFormat="1" applyFont="1" applyFill="1" applyBorder="1" applyAlignment="1">
      <alignment horizontal="right" vertical="center" wrapText="1"/>
    </xf>
    <xf numFmtId="0" fontId="72" fillId="5" borderId="7" xfId="4" applyFont="1" applyFill="1" applyBorder="1" applyAlignment="1">
      <alignment horizontal="center" vertical="center"/>
    </xf>
    <xf numFmtId="49" fontId="46" fillId="6" borderId="14" xfId="4" applyNumberFormat="1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vertical="center" wrapText="1"/>
    </xf>
    <xf numFmtId="4" fontId="11" fillId="4" borderId="4" xfId="2" applyNumberFormat="1" applyFont="1" applyFill="1" applyBorder="1" applyAlignment="1">
      <alignment horizontal="right" vertical="center"/>
    </xf>
    <xf numFmtId="0" fontId="13" fillId="5" borderId="14" xfId="4" applyFont="1" applyFill="1" applyBorder="1" applyAlignment="1">
      <alignment horizontal="left" vertical="center" wrapText="1"/>
    </xf>
    <xf numFmtId="0" fontId="13" fillId="5" borderId="9" xfId="4" applyFont="1" applyFill="1" applyBorder="1" applyAlignment="1">
      <alignment horizontal="left" vertical="center" wrapText="1"/>
    </xf>
    <xf numFmtId="10" fontId="7" fillId="5" borderId="18" xfId="1" applyNumberFormat="1" applyFont="1" applyFill="1" applyBorder="1" applyAlignment="1">
      <alignment horizontal="right" vertical="center"/>
    </xf>
    <xf numFmtId="49" fontId="13" fillId="5" borderId="14" xfId="4" applyNumberFormat="1" applyFont="1" applyFill="1" applyBorder="1" applyAlignment="1">
      <alignment horizontal="center" vertical="center" wrapText="1"/>
    </xf>
    <xf numFmtId="3" fontId="7" fillId="5" borderId="14" xfId="2" applyNumberFormat="1" applyFont="1" applyFill="1" applyBorder="1" applyAlignment="1">
      <alignment horizontal="right" vertical="center"/>
    </xf>
    <xf numFmtId="4" fontId="7" fillId="5" borderId="25" xfId="2" applyNumberFormat="1" applyFont="1" applyFill="1" applyBorder="1" applyAlignment="1">
      <alignment horizontal="right" vertical="center"/>
    </xf>
    <xf numFmtId="0" fontId="74" fillId="0" borderId="8" xfId="2" applyFont="1" applyBorder="1" applyAlignment="1">
      <alignment horizontal="center" vertical="center" wrapText="1"/>
    </xf>
    <xf numFmtId="0" fontId="5" fillId="0" borderId="7" xfId="4" quotePrefix="1" applyFont="1" applyBorder="1" applyAlignment="1">
      <alignment horizontal="left" vertical="center" wrapText="1"/>
    </xf>
    <xf numFmtId="49" fontId="47" fillId="10" borderId="76" xfId="4" applyNumberFormat="1" applyFont="1" applyFill="1" applyBorder="1" applyAlignment="1">
      <alignment horizontal="center" vertical="center"/>
    </xf>
    <xf numFmtId="49" fontId="47" fillId="0" borderId="14" xfId="4" applyNumberFormat="1" applyFont="1" applyBorder="1" applyAlignment="1">
      <alignment vertical="center"/>
    </xf>
    <xf numFmtId="49" fontId="72" fillId="5" borderId="1" xfId="4" applyNumberFormat="1" applyFont="1" applyFill="1" applyBorder="1" applyAlignment="1">
      <alignment horizontal="left" vertical="center" wrapText="1"/>
    </xf>
    <xf numFmtId="1" fontId="72" fillId="5" borderId="7" xfId="4" applyNumberFormat="1" applyFont="1" applyFill="1" applyBorder="1" applyAlignment="1">
      <alignment horizontal="center" vertical="center"/>
    </xf>
    <xf numFmtId="0" fontId="72" fillId="5" borderId="14" xfId="4" applyFont="1" applyFill="1" applyBorder="1" applyAlignment="1">
      <alignment horizontal="left" vertical="center" wrapText="1"/>
    </xf>
    <xf numFmtId="49" fontId="46" fillId="6" borderId="14" xfId="4" applyNumberFormat="1" applyFont="1" applyFill="1" applyBorder="1" applyAlignment="1">
      <alignment horizontal="center" vertical="center" wrapText="1"/>
    </xf>
    <xf numFmtId="49" fontId="46" fillId="6" borderId="1" xfId="4" applyNumberFormat="1" applyFont="1" applyFill="1" applyBorder="1" applyAlignment="1">
      <alignment horizontal="center" vertical="center" wrapText="1"/>
    </xf>
    <xf numFmtId="1" fontId="46" fillId="6" borderId="7" xfId="4" applyNumberFormat="1" applyFont="1" applyFill="1" applyBorder="1" applyAlignment="1">
      <alignment horizontal="center" vertical="center"/>
    </xf>
    <xf numFmtId="4" fontId="46" fillId="6" borderId="1" xfId="4" applyNumberFormat="1" applyFont="1" applyFill="1" applyBorder="1" applyAlignment="1">
      <alignment horizontal="right" vertical="center"/>
    </xf>
    <xf numFmtId="4" fontId="46" fillId="6" borderId="7" xfId="4" applyNumberFormat="1" applyFont="1" applyFill="1" applyBorder="1" applyAlignment="1">
      <alignment horizontal="right" vertical="center"/>
    </xf>
    <xf numFmtId="0" fontId="46" fillId="0" borderId="7" xfId="5" applyFont="1" applyBorder="1" applyAlignment="1">
      <alignment horizontal="left" vertical="center" wrapText="1"/>
    </xf>
    <xf numFmtId="0" fontId="47" fillId="10" borderId="74" xfId="4" applyFont="1" applyFill="1" applyBorder="1" applyAlignment="1">
      <alignment vertical="center" wrapText="1"/>
    </xf>
    <xf numFmtId="1" fontId="73" fillId="10" borderId="75" xfId="4" applyNumberFormat="1" applyFont="1" applyFill="1" applyBorder="1" applyAlignment="1">
      <alignment horizontal="center"/>
    </xf>
    <xf numFmtId="3" fontId="47" fillId="10" borderId="76" xfId="4" applyNumberFormat="1" applyFont="1" applyFill="1" applyBorder="1" applyAlignment="1">
      <alignment horizontal="right" vertical="center" wrapText="1"/>
    </xf>
    <xf numFmtId="0" fontId="47" fillId="10" borderId="82" xfId="4" applyFont="1" applyFill="1" applyBorder="1" applyAlignment="1">
      <alignment horizontal="left" vertical="center"/>
    </xf>
    <xf numFmtId="3" fontId="46" fillId="0" borderId="4" xfId="4" applyNumberFormat="1" applyFont="1" applyBorder="1" applyAlignment="1">
      <alignment horizontal="right" vertical="center" wrapText="1"/>
    </xf>
    <xf numFmtId="4" fontId="46" fillId="0" borderId="4" xfId="4" applyNumberFormat="1" applyFont="1" applyBorder="1" applyAlignment="1">
      <alignment horizontal="right" vertical="center" wrapText="1"/>
    </xf>
    <xf numFmtId="49" fontId="47" fillId="0" borderId="7" xfId="4" applyNumberFormat="1" applyFont="1" applyBorder="1" applyAlignment="1">
      <alignment vertical="center"/>
    </xf>
    <xf numFmtId="3" fontId="73" fillId="6" borderId="1" xfId="4" applyNumberFormat="1" applyFont="1" applyFill="1" applyBorder="1" applyAlignment="1">
      <alignment horizontal="right" vertical="center"/>
    </xf>
    <xf numFmtId="4" fontId="46" fillId="6" borderId="8" xfId="4" applyNumberFormat="1" applyFont="1" applyFill="1" applyBorder="1" applyAlignment="1">
      <alignment horizontal="right" vertical="center" wrapText="1"/>
    </xf>
    <xf numFmtId="0" fontId="46" fillId="0" borderId="10" xfId="5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36" fillId="6" borderId="0" xfId="4" applyFont="1" applyFill="1" applyAlignment="1">
      <alignment wrapText="1"/>
    </xf>
    <xf numFmtId="0" fontId="71" fillId="0" borderId="7" xfId="4" applyFont="1" applyBorder="1" applyAlignment="1">
      <alignment vertical="center"/>
    </xf>
    <xf numFmtId="1" fontId="46" fillId="0" borderId="7" xfId="4" applyNumberFormat="1" applyFont="1" applyBorder="1" applyAlignment="1">
      <alignment horizontal="center" vertical="center"/>
    </xf>
    <xf numFmtId="0" fontId="71" fillId="0" borderId="7" xfId="4" applyFont="1" applyBorder="1" applyAlignment="1">
      <alignment vertical="center" wrapText="1"/>
    </xf>
    <xf numFmtId="3" fontId="46" fillId="0" borderId="7" xfId="4" applyNumberFormat="1" applyFont="1" applyBorder="1" applyAlignment="1">
      <alignment horizontal="center" vertical="center" wrapText="1"/>
    </xf>
    <xf numFmtId="4" fontId="46" fillId="0" borderId="7" xfId="4" applyNumberFormat="1" applyFont="1" applyBorder="1" applyAlignment="1">
      <alignment horizontal="center" vertical="center" wrapText="1"/>
    </xf>
    <xf numFmtId="0" fontId="46" fillId="0" borderId="7" xfId="4" applyFont="1" applyBorder="1" applyAlignment="1">
      <alignment horizontal="left" vertical="top" wrapText="1"/>
    </xf>
    <xf numFmtId="0" fontId="5" fillId="0" borderId="7" xfId="4" applyFont="1" applyBorder="1" applyAlignment="1">
      <alignment horizontal="center" vertical="center" wrapText="1"/>
    </xf>
    <xf numFmtId="0" fontId="5" fillId="0" borderId="1" xfId="4" applyFont="1" applyBorder="1" applyAlignment="1">
      <alignment horizontal="left" vertical="center" wrapText="1"/>
    </xf>
    <xf numFmtId="3" fontId="14" fillId="0" borderId="14" xfId="2" applyNumberFormat="1" applyFont="1" applyBorder="1" applyAlignment="1">
      <alignment horizontal="right" vertical="center"/>
    </xf>
    <xf numFmtId="4" fontId="5" fillId="0" borderId="25" xfId="2" applyNumberFormat="1" applyFont="1" applyBorder="1" applyAlignment="1">
      <alignment horizontal="right" vertical="center"/>
    </xf>
    <xf numFmtId="10" fontId="14" fillId="0" borderId="14" xfId="1" applyNumberFormat="1" applyFont="1" applyFill="1" applyBorder="1" applyAlignment="1">
      <alignment horizontal="right" vertical="center"/>
    </xf>
    <xf numFmtId="0" fontId="13" fillId="5" borderId="5" xfId="4" applyFont="1" applyFill="1" applyBorder="1" applyAlignment="1">
      <alignment horizontal="left" vertical="center" wrapText="1"/>
    </xf>
    <xf numFmtId="0" fontId="8" fillId="3" borderId="2" xfId="4" applyFont="1" applyFill="1" applyBorder="1" applyAlignment="1">
      <alignment horizontal="center" vertical="center" wrapText="1"/>
    </xf>
    <xf numFmtId="10" fontId="11" fillId="3" borderId="2" xfId="1" applyNumberFormat="1" applyFont="1" applyFill="1" applyBorder="1" applyAlignment="1">
      <alignment horizontal="right" vertical="center"/>
    </xf>
    <xf numFmtId="0" fontId="12" fillId="4" borderId="10" xfId="4" applyFont="1" applyFill="1" applyBorder="1" applyAlignment="1">
      <alignment horizontal="center" vertical="center" wrapText="1"/>
    </xf>
    <xf numFmtId="0" fontId="12" fillId="4" borderId="8" xfId="4" applyFont="1" applyFill="1" applyBorder="1" applyAlignment="1">
      <alignment horizontal="left" vertical="center" wrapText="1"/>
    </xf>
    <xf numFmtId="0" fontId="12" fillId="4" borderId="7" xfId="4" applyFont="1" applyFill="1" applyBorder="1" applyAlignment="1">
      <alignment horizontal="left" vertical="center" wrapText="1"/>
    </xf>
    <xf numFmtId="0" fontId="5" fillId="6" borderId="20" xfId="4" applyFont="1" applyFill="1" applyBorder="1" applyAlignment="1">
      <alignment horizontal="center" vertical="center" wrapText="1"/>
    </xf>
    <xf numFmtId="4" fontId="47" fillId="10" borderId="74" xfId="4" applyNumberFormat="1" applyFont="1" applyFill="1" applyBorder="1" applyAlignment="1">
      <alignment horizontal="right" vertical="center" wrapText="1"/>
    </xf>
    <xf numFmtId="0" fontId="75" fillId="4" borderId="10" xfId="2" applyFont="1" applyFill="1" applyBorder="1" applyAlignment="1">
      <alignment horizontal="center" vertical="center" wrapText="1"/>
    </xf>
    <xf numFmtId="0" fontId="75" fillId="4" borderId="8" xfId="2" applyFont="1" applyFill="1" applyBorder="1" applyAlignment="1">
      <alignment vertical="center" wrapText="1"/>
    </xf>
    <xf numFmtId="0" fontId="12" fillId="4" borderId="7" xfId="2" applyFont="1" applyFill="1" applyBorder="1" applyAlignment="1">
      <alignment vertical="center" wrapText="1"/>
    </xf>
    <xf numFmtId="3" fontId="11" fillId="4" borderId="7" xfId="2" applyNumberFormat="1" applyFont="1" applyFill="1" applyBorder="1" applyAlignment="1">
      <alignment horizontal="right" vertical="center"/>
    </xf>
    <xf numFmtId="4" fontId="11" fillId="4" borderId="8" xfId="2" applyNumberFormat="1" applyFont="1" applyFill="1" applyBorder="1" applyAlignment="1">
      <alignment horizontal="right" vertical="center"/>
    </xf>
    <xf numFmtId="10" fontId="11" fillId="4" borderId="7" xfId="1" applyNumberFormat="1" applyFont="1" applyFill="1" applyBorder="1" applyAlignment="1">
      <alignment horizontal="right" vertical="center"/>
    </xf>
    <xf numFmtId="0" fontId="13" fillId="5" borderId="16" xfId="2" quotePrefix="1" applyFont="1" applyFill="1" applyBorder="1" applyAlignment="1">
      <alignment horizontal="left" vertical="center" wrapText="1"/>
    </xf>
    <xf numFmtId="0" fontId="13" fillId="5" borderId="7" xfId="2" quotePrefix="1" applyFont="1" applyFill="1" applyBorder="1" applyAlignment="1">
      <alignment horizontal="left" vertical="center" wrapText="1"/>
    </xf>
    <xf numFmtId="3" fontId="6" fillId="5" borderId="14" xfId="3" applyNumberFormat="1" applyFont="1" applyFill="1" applyBorder="1"/>
    <xf numFmtId="0" fontId="16" fillId="0" borderId="0" xfId="6" applyNumberFormat="1" applyFont="1" applyFill="1" applyBorder="1" applyAlignment="1" applyProtection="1">
      <alignment horizontal="left" vertical="center"/>
      <protection locked="0"/>
    </xf>
    <xf numFmtId="0" fontId="5" fillId="0" borderId="0" xfId="6" applyNumberFormat="1" applyFont="1" applyFill="1" applyBorder="1" applyAlignment="1" applyProtection="1">
      <alignment horizontal="left" vertical="center"/>
      <protection locked="0"/>
    </xf>
    <xf numFmtId="0" fontId="79" fillId="0" borderId="1" xfId="6" applyNumberFormat="1" applyFont="1" applyFill="1" applyBorder="1" applyAlignment="1" applyProtection="1">
      <alignment vertical="center" wrapText="1"/>
      <protection locked="0"/>
    </xf>
    <xf numFmtId="3" fontId="32" fillId="0" borderId="0" xfId="6" applyNumberFormat="1" applyFont="1" applyFill="1" applyBorder="1" applyAlignment="1" applyProtection="1">
      <alignment horizontal="right" vertical="center"/>
      <protection locked="0"/>
    </xf>
    <xf numFmtId="3" fontId="13" fillId="0" borderId="0" xfId="6" applyNumberFormat="1" applyFont="1" applyFill="1" applyBorder="1" applyAlignment="1" applyProtection="1">
      <alignment horizontal="right" vertical="center"/>
      <protection locked="0"/>
    </xf>
    <xf numFmtId="4" fontId="13" fillId="0" borderId="0" xfId="6" applyNumberFormat="1" applyFont="1" applyFill="1" applyBorder="1" applyAlignment="1" applyProtection="1">
      <alignment horizontal="right" vertical="center"/>
      <protection locked="0"/>
    </xf>
    <xf numFmtId="0" fontId="80" fillId="0" borderId="0" xfId="6" applyNumberFormat="1" applyFont="1" applyFill="1" applyBorder="1" applyAlignment="1" applyProtection="1">
      <alignment horizontal="left" vertical="center"/>
      <protection locked="0"/>
    </xf>
    <xf numFmtId="0" fontId="81" fillId="0" borderId="0" xfId="6" applyNumberFormat="1" applyFont="1" applyFill="1" applyBorder="1" applyAlignment="1" applyProtection="1">
      <alignment horizontal="left" vertical="center"/>
      <protection locked="0"/>
    </xf>
    <xf numFmtId="49" fontId="82" fillId="16" borderId="86" xfId="6" applyNumberFormat="1" applyFont="1" applyFill="1" applyBorder="1" applyAlignment="1" applyProtection="1">
      <alignment horizontal="center" vertical="center" wrapText="1"/>
      <protection locked="0"/>
    </xf>
    <xf numFmtId="49" fontId="82" fillId="16" borderId="84" xfId="6" applyNumberFormat="1" applyFont="1" applyFill="1" applyBorder="1" applyAlignment="1" applyProtection="1">
      <alignment horizontal="center" vertical="center" wrapText="1"/>
      <protection locked="0"/>
    </xf>
    <xf numFmtId="49" fontId="82" fillId="16" borderId="82" xfId="6" applyNumberFormat="1" applyFont="1" applyFill="1" applyBorder="1" applyAlignment="1" applyProtection="1">
      <alignment horizontal="center" vertical="center" wrapText="1"/>
      <protection locked="0"/>
    </xf>
    <xf numFmtId="49" fontId="35" fillId="16" borderId="84" xfId="6" applyNumberFormat="1" applyFont="1" applyFill="1" applyBorder="1" applyAlignment="1" applyProtection="1">
      <alignment horizontal="center" vertical="center" wrapText="1"/>
      <protection locked="0"/>
    </xf>
    <xf numFmtId="3" fontId="35" fillId="11" borderId="84" xfId="6" applyNumberFormat="1" applyFont="1" applyFill="1" applyBorder="1" applyAlignment="1" applyProtection="1">
      <alignment horizontal="center" vertical="center" wrapText="1"/>
      <protection locked="0"/>
    </xf>
    <xf numFmtId="3" fontId="8" fillId="11" borderId="86" xfId="6" applyNumberFormat="1" applyFont="1" applyFill="1" applyBorder="1" applyAlignment="1" applyProtection="1">
      <alignment horizontal="center" vertical="center" wrapText="1"/>
      <protection locked="0"/>
    </xf>
    <xf numFmtId="4" fontId="8" fillId="11" borderId="84" xfId="6" applyNumberFormat="1" applyFont="1" applyFill="1" applyBorder="1" applyAlignment="1" applyProtection="1">
      <alignment horizontal="center" vertical="center" wrapText="1"/>
      <protection locked="0"/>
    </xf>
    <xf numFmtId="3" fontId="8" fillId="11" borderId="82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" applyNumberFormat="1" applyFont="1" applyFill="1" applyBorder="1" applyAlignment="1" applyProtection="1">
      <alignment horizontal="center" vertical="center"/>
      <protection locked="0"/>
    </xf>
    <xf numFmtId="0" fontId="8" fillId="0" borderId="0" xfId="6" applyNumberFormat="1" applyFont="1" applyFill="1" applyBorder="1" applyAlignment="1" applyProtection="1">
      <alignment horizontal="center" vertical="center"/>
      <protection locked="0"/>
    </xf>
    <xf numFmtId="49" fontId="35" fillId="17" borderId="86" xfId="6" applyNumberFormat="1" applyFont="1" applyFill="1" applyBorder="1" applyAlignment="1" applyProtection="1">
      <alignment horizontal="center" vertical="center" wrapText="1"/>
      <protection locked="0"/>
    </xf>
    <xf numFmtId="49" fontId="35" fillId="17" borderId="84" xfId="6" applyNumberFormat="1" applyFont="1" applyFill="1" applyBorder="1" applyAlignment="1" applyProtection="1">
      <alignment horizontal="center" vertical="center" wrapText="1"/>
      <protection locked="0"/>
    </xf>
    <xf numFmtId="49" fontId="35" fillId="17" borderId="82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84" xfId="6" applyNumberFormat="1" applyFont="1" applyFill="1" applyBorder="1" applyAlignment="1" applyProtection="1">
      <alignment horizontal="center" vertical="center"/>
      <protection locked="0"/>
    </xf>
    <xf numFmtId="3" fontId="8" fillId="0" borderId="84" xfId="6" applyNumberFormat="1" applyFont="1" applyFill="1" applyBorder="1" applyAlignment="1" applyProtection="1">
      <alignment horizontal="center" vertical="center"/>
      <protection locked="0"/>
    </xf>
    <xf numFmtId="4" fontId="8" fillId="0" borderId="84" xfId="6" applyNumberFormat="1" applyFont="1" applyFill="1" applyBorder="1" applyAlignment="1" applyProtection="1">
      <alignment horizontal="center" vertical="center"/>
      <protection locked="0"/>
    </xf>
    <xf numFmtId="3" fontId="8" fillId="0" borderId="82" xfId="6" applyNumberFormat="1" applyFont="1" applyFill="1" applyBorder="1" applyAlignment="1" applyProtection="1">
      <alignment horizontal="center" vertical="center"/>
      <protection locked="0"/>
    </xf>
    <xf numFmtId="49" fontId="10" fillId="17" borderId="86" xfId="6" applyNumberFormat="1" applyFont="1" applyFill="1" applyBorder="1" applyAlignment="1" applyProtection="1">
      <alignment horizontal="center" vertical="center" wrapText="1"/>
      <protection locked="0"/>
    </xf>
    <xf numFmtId="49" fontId="10" fillId="17" borderId="3" xfId="6" applyNumberFormat="1" applyFont="1" applyFill="1" applyBorder="1" applyAlignment="1" applyProtection="1">
      <alignment horizontal="center" vertical="center" wrapText="1"/>
      <protection locked="0"/>
    </xf>
    <xf numFmtId="49" fontId="10" fillId="17" borderId="28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14" xfId="6" applyNumberFormat="1" applyFont="1" applyFill="1" applyBorder="1" applyAlignment="1" applyProtection="1">
      <alignment horizontal="right" vertical="center"/>
      <protection locked="0"/>
    </xf>
    <xf numFmtId="4" fontId="16" fillId="0" borderId="14" xfId="6" applyNumberFormat="1" applyFont="1" applyFill="1" applyBorder="1" applyAlignment="1" applyProtection="1">
      <alignment horizontal="right" vertical="center"/>
      <protection locked="0"/>
    </xf>
    <xf numFmtId="3" fontId="10" fillId="0" borderId="30" xfId="6" applyNumberFormat="1" applyFont="1" applyFill="1" applyBorder="1" applyAlignment="1" applyProtection="1">
      <alignment horizontal="right" vertical="center"/>
      <protection locked="0"/>
    </xf>
    <xf numFmtId="49" fontId="8" fillId="18" borderId="86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06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0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5" xfId="6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6" applyNumberFormat="1" applyFont="1" applyFill="1" applyBorder="1" applyAlignment="1" applyProtection="1">
      <alignment horizontal="right" vertical="center"/>
      <protection locked="0"/>
    </xf>
    <xf numFmtId="49" fontId="5" fillId="17" borderId="14" xfId="6" applyNumberFormat="1" applyFont="1" applyFill="1" applyBorder="1" applyAlignment="1" applyProtection="1">
      <alignment horizontal="center" vertical="center" wrapText="1"/>
      <protection locked="0"/>
    </xf>
    <xf numFmtId="3" fontId="83" fillId="0" borderId="108" xfId="16" applyNumberFormat="1" applyFont="1" applyBorder="1" applyAlignment="1">
      <alignment horizontal="right" vertical="center"/>
    </xf>
    <xf numFmtId="3" fontId="5" fillId="0" borderId="109" xfId="6" applyNumberFormat="1" applyFont="1" applyFill="1" applyBorder="1" applyAlignment="1" applyProtection="1">
      <alignment horizontal="right" vertical="center"/>
      <protection locked="0"/>
    </xf>
    <xf numFmtId="3" fontId="16" fillId="0" borderId="109" xfId="6" applyNumberFormat="1" applyFont="1" applyFill="1" applyBorder="1" applyAlignment="1" applyProtection="1">
      <alignment horizontal="right" vertical="center"/>
      <protection locked="0"/>
    </xf>
    <xf numFmtId="4" fontId="16" fillId="0" borderId="109" xfId="6" applyNumberFormat="1" applyFont="1" applyFill="1" applyBorder="1" applyAlignment="1" applyProtection="1">
      <alignment horizontal="right" vertical="center"/>
      <protection locked="0"/>
    </xf>
    <xf numFmtId="49" fontId="12" fillId="20" borderId="84" xfId="6" applyNumberFormat="1" applyFont="1" applyFill="1" applyBorder="1" applyAlignment="1" applyProtection="1">
      <alignment horizontal="center" vertical="center" wrapText="1"/>
      <protection locked="0"/>
    </xf>
    <xf numFmtId="3" fontId="12" fillId="10" borderId="84" xfId="6" applyNumberFormat="1" applyFont="1" applyFill="1" applyBorder="1" applyAlignment="1" applyProtection="1">
      <alignment horizontal="right" vertical="center"/>
      <protection locked="0"/>
    </xf>
    <xf numFmtId="3" fontId="8" fillId="0" borderId="109" xfId="6" applyNumberFormat="1" applyFont="1" applyFill="1" applyBorder="1" applyAlignment="1" applyProtection="1">
      <alignment horizontal="right" vertical="center"/>
      <protection locked="0"/>
    </xf>
    <xf numFmtId="0" fontId="84" fillId="6" borderId="14" xfId="0" applyFont="1" applyFill="1" applyBorder="1" applyAlignment="1">
      <alignment vertical="center" wrapText="1"/>
    </xf>
    <xf numFmtId="0" fontId="84" fillId="6" borderId="14" xfId="0" applyFont="1" applyFill="1" applyBorder="1" applyAlignment="1">
      <alignment horizontal="center" vertical="center" wrapText="1"/>
    </xf>
    <xf numFmtId="0" fontId="84" fillId="6" borderId="7" xfId="0" applyFont="1" applyFill="1" applyBorder="1" applyAlignment="1">
      <alignment horizontal="center" vertical="center" wrapText="1"/>
    </xf>
    <xf numFmtId="49" fontId="12" fillId="20" borderId="7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15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16" xfId="6" applyNumberFormat="1" applyFont="1" applyFill="1" applyBorder="1" applyAlignment="1" applyProtection="1">
      <alignment horizontal="left" vertical="center" wrapText="1"/>
      <protection locked="0"/>
    </xf>
    <xf numFmtId="3" fontId="12" fillId="10" borderId="7" xfId="6" applyNumberFormat="1" applyFont="1" applyFill="1" applyBorder="1" applyAlignment="1" applyProtection="1">
      <alignment horizontal="right" vertical="center"/>
      <protection locked="0"/>
    </xf>
    <xf numFmtId="49" fontId="5" fillId="0" borderId="14" xfId="6" applyNumberFormat="1" applyFont="1" applyFill="1" applyBorder="1" applyAlignment="1" applyProtection="1">
      <alignment vertical="center" wrapText="1"/>
      <protection locked="0"/>
    </xf>
    <xf numFmtId="49" fontId="5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8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10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11" xfId="6" applyNumberFormat="1" applyFont="1" applyFill="1" applyBorder="1" applyAlignment="1" applyProtection="1">
      <alignment horizontal="left" vertical="center" wrapText="1"/>
      <protection locked="0"/>
    </xf>
    <xf numFmtId="3" fontId="8" fillId="2" borderId="84" xfId="6" applyNumberFormat="1" applyFont="1" applyFill="1" applyBorder="1" applyAlignment="1" applyProtection="1">
      <alignment horizontal="right" vertical="center"/>
      <protection locked="0"/>
    </xf>
    <xf numFmtId="49" fontId="5" fillId="17" borderId="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7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118" xfId="6" applyNumberFormat="1" applyFont="1" applyFill="1" applyBorder="1" applyAlignment="1" applyProtection="1">
      <alignment horizontal="right" vertical="center"/>
      <protection locked="0"/>
    </xf>
    <xf numFmtId="3" fontId="35" fillId="2" borderId="84" xfId="6" applyNumberFormat="1" applyFont="1" applyFill="1" applyBorder="1" applyAlignment="1" applyProtection="1">
      <alignment horizontal="right" vertical="center"/>
      <protection locked="0"/>
    </xf>
    <xf numFmtId="4" fontId="35" fillId="2" borderId="84" xfId="6" applyNumberFormat="1" applyFont="1" applyFill="1" applyBorder="1" applyAlignment="1" applyProtection="1">
      <alignment horizontal="right" vertical="center"/>
      <protection locked="0"/>
    </xf>
    <xf numFmtId="0" fontId="31" fillId="0" borderId="0" xfId="6" applyNumberFormat="1" applyFont="1" applyFill="1" applyBorder="1" applyAlignment="1" applyProtection="1">
      <alignment horizontal="left" vertical="center"/>
      <protection locked="0"/>
    </xf>
    <xf numFmtId="49" fontId="31" fillId="17" borderId="4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84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10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11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84" xfId="6" applyNumberFormat="1" applyFont="1" applyFill="1" applyBorder="1" applyAlignment="1" applyProtection="1">
      <alignment horizontal="right" vertical="center"/>
      <protection locked="0"/>
    </xf>
    <xf numFmtId="49" fontId="31" fillId="17" borderId="2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6" applyNumberFormat="1" applyFont="1" applyFill="1" applyBorder="1" applyAlignment="1" applyProtection="1">
      <alignment vertical="center" wrapText="1"/>
      <protection locked="0"/>
    </xf>
    <xf numFmtId="49" fontId="31" fillId="17" borderId="1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6" applyNumberFormat="1" applyFont="1" applyFill="1" applyBorder="1" applyAlignment="1" applyProtection="1">
      <alignment horizontal="center" vertical="center" wrapText="1"/>
      <protection locked="0"/>
    </xf>
    <xf numFmtId="4" fontId="8" fillId="2" borderId="84" xfId="6" applyNumberFormat="1" applyFont="1" applyFill="1" applyBorder="1" applyAlignment="1" applyProtection="1">
      <alignment horizontal="right" vertical="center"/>
      <protection locked="0"/>
    </xf>
    <xf numFmtId="49" fontId="16" fillId="17" borderId="25" xfId="6" applyNumberFormat="1" applyFont="1" applyFill="1" applyBorder="1" applyAlignment="1" applyProtection="1">
      <alignment horizontal="center" vertical="center" wrapText="1"/>
      <protection locked="0"/>
    </xf>
    <xf numFmtId="0" fontId="37" fillId="6" borderId="14" xfId="0" applyFont="1" applyFill="1" applyBorder="1" applyAlignment="1">
      <alignment vertical="center" wrapText="1"/>
    </xf>
    <xf numFmtId="49" fontId="5" fillId="17" borderId="12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5" xfId="6" applyNumberFormat="1" applyFont="1" applyFill="1" applyBorder="1" applyAlignment="1" applyProtection="1">
      <alignment vertical="center" wrapText="1"/>
      <protection locked="0"/>
    </xf>
    <xf numFmtId="0" fontId="84" fillId="0" borderId="30" xfId="0" applyFont="1" applyBorder="1" applyAlignment="1">
      <alignment vertical="center"/>
    </xf>
    <xf numFmtId="49" fontId="16" fillId="17" borderId="14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14" xfId="0" applyFont="1" applyBorder="1" applyAlignment="1">
      <alignment vertical="center" wrapText="1"/>
    </xf>
    <xf numFmtId="49" fontId="12" fillId="21" borderId="14" xfId="6" applyNumberFormat="1" applyFont="1" applyFill="1" applyBorder="1" applyAlignment="1" applyProtection="1">
      <alignment vertical="center" wrapText="1"/>
      <protection locked="0"/>
    </xf>
    <xf numFmtId="49" fontId="19" fillId="21" borderId="14" xfId="6" applyNumberFormat="1" applyFont="1" applyFill="1" applyBorder="1" applyAlignment="1" applyProtection="1">
      <alignment vertical="center" wrapText="1"/>
      <protection locked="0"/>
    </xf>
    <xf numFmtId="49" fontId="5" fillId="17" borderId="0" xfId="6" applyNumberFormat="1" applyFont="1" applyFill="1" applyBorder="1" applyAlignment="1" applyProtection="1">
      <alignment vertical="center" wrapText="1"/>
      <protection locked="0"/>
    </xf>
    <xf numFmtId="3" fontId="8" fillId="10" borderId="84" xfId="6" applyNumberFormat="1" applyFont="1" applyFill="1" applyBorder="1" applyAlignment="1" applyProtection="1">
      <alignment horizontal="right" vertical="center"/>
      <protection locked="0"/>
    </xf>
    <xf numFmtId="49" fontId="8" fillId="0" borderId="0" xfId="6" applyNumberFormat="1" applyFont="1" applyFill="1" applyBorder="1" applyAlignment="1" applyProtection="1">
      <alignment horizontal="left" vertical="center" wrapText="1"/>
      <protection locked="0"/>
    </xf>
    <xf numFmtId="3" fontId="8" fillId="0" borderId="14" xfId="6" applyNumberFormat="1" applyFont="1" applyFill="1" applyBorder="1" applyAlignment="1" applyProtection="1">
      <alignment horizontal="right" vertical="center"/>
      <protection locked="0"/>
    </xf>
    <xf numFmtId="49" fontId="16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4" xfId="6" applyNumberFormat="1" applyFont="1" applyFill="1" applyBorder="1" applyAlignment="1" applyProtection="1">
      <alignment horizontal="right" vertical="center"/>
      <protection locked="0"/>
    </xf>
    <xf numFmtId="4" fontId="12" fillId="10" borderId="84" xfId="6" applyNumberFormat="1" applyFont="1" applyFill="1" applyBorder="1" applyAlignment="1" applyProtection="1">
      <alignment horizontal="right" vertical="center"/>
      <protection locked="0"/>
    </xf>
    <xf numFmtId="49" fontId="16" fillId="17" borderId="8" xfId="6" applyNumberFormat="1" applyFont="1" applyFill="1" applyBorder="1" applyAlignment="1" applyProtection="1">
      <alignment horizontal="center" vertical="center" wrapText="1"/>
      <protection locked="0"/>
    </xf>
    <xf numFmtId="4" fontId="8" fillId="10" borderId="84" xfId="6" applyNumberFormat="1" applyFont="1" applyFill="1" applyBorder="1" applyAlignment="1" applyProtection="1">
      <alignment horizontal="right" vertical="center"/>
      <protection locked="0"/>
    </xf>
    <xf numFmtId="49" fontId="85" fillId="21" borderId="14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14" xfId="6" applyNumberFormat="1" applyFont="1" applyFill="1" applyBorder="1" applyAlignment="1" applyProtection="1">
      <alignment horizontal="right" vertical="center"/>
      <protection locked="0"/>
    </xf>
    <xf numFmtId="49" fontId="16" fillId="17" borderId="7" xfId="6" applyNumberFormat="1" applyFont="1" applyFill="1" applyBorder="1" applyAlignment="1" applyProtection="1">
      <alignment horizontal="center" vertical="center" wrapText="1"/>
      <protection locked="0"/>
    </xf>
    <xf numFmtId="4" fontId="85" fillId="10" borderId="84" xfId="6" applyNumberFormat="1" applyFont="1" applyFill="1" applyBorder="1" applyAlignment="1" applyProtection="1">
      <alignment horizontal="right" vertical="center"/>
      <protection locked="0"/>
    </xf>
    <xf numFmtId="49" fontId="85" fillId="20" borderId="106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0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4" xfId="6" applyNumberFormat="1" applyFont="1" applyFill="1" applyBorder="1" applyAlignment="1" applyProtection="1">
      <alignment horizontal="left" vertical="center" wrapText="1"/>
      <protection locked="0"/>
    </xf>
    <xf numFmtId="49" fontId="12" fillId="21" borderId="2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5" xfId="6" applyNumberFormat="1" applyFont="1" applyFill="1" applyBorder="1" applyAlignment="1" applyProtection="1">
      <alignment horizontal="center" vertical="center" wrapText="1"/>
      <protection locked="0"/>
    </xf>
    <xf numFmtId="4" fontId="12" fillId="10" borderId="7" xfId="6" applyNumberFormat="1" applyFont="1" applyFill="1" applyBorder="1" applyAlignment="1" applyProtection="1">
      <alignment horizontal="right" vertical="center"/>
      <protection locked="0"/>
    </xf>
    <xf numFmtId="0" fontId="8" fillId="0" borderId="0" xfId="6" applyNumberFormat="1" applyFont="1" applyFill="1" applyBorder="1" applyAlignment="1" applyProtection="1">
      <alignment horizontal="left" vertical="center"/>
      <protection locked="0"/>
    </xf>
    <xf numFmtId="49" fontId="8" fillId="21" borderId="4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06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07" xfId="6" applyNumberFormat="1" applyFont="1" applyFill="1" applyBorder="1" applyAlignment="1" applyProtection="1">
      <alignment horizontal="left" vertical="center" wrapText="1"/>
      <protection locked="0"/>
    </xf>
    <xf numFmtId="49" fontId="8" fillId="21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21" borderId="25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26" xfId="6" applyNumberFormat="1" applyFont="1" applyFill="1" applyBorder="1" applyAlignment="1" applyProtection="1">
      <alignment horizontal="center" vertical="center" wrapText="1"/>
      <protection locked="0"/>
    </xf>
    <xf numFmtId="3" fontId="13" fillId="0" borderId="109" xfId="6" applyNumberFormat="1" applyFont="1" applyFill="1" applyBorder="1" applyAlignment="1" applyProtection="1">
      <alignment horizontal="right" vertical="center"/>
      <protection locked="0"/>
    </xf>
    <xf numFmtId="3" fontId="8" fillId="0" borderId="109" xfId="6" applyNumberFormat="1" applyFont="1" applyFill="1" applyBorder="1" applyAlignment="1" applyProtection="1">
      <alignment vertical="center"/>
      <protection locked="0"/>
    </xf>
    <xf numFmtId="3" fontId="35" fillId="0" borderId="109" xfId="6" applyNumberFormat="1" applyFont="1" applyFill="1" applyBorder="1" applyAlignment="1" applyProtection="1">
      <alignment horizontal="right" vertical="center"/>
      <protection locked="0"/>
    </xf>
    <xf numFmtId="49" fontId="31" fillId="17" borderId="0" xfId="6" applyNumberFormat="1" applyFont="1" applyFill="1" applyBorder="1" applyAlignment="1" applyProtection="1">
      <alignment vertical="center" wrapText="1"/>
      <protection locked="0"/>
    </xf>
    <xf numFmtId="3" fontId="31" fillId="0" borderId="109" xfId="6" applyNumberFormat="1" applyFont="1" applyFill="1" applyBorder="1" applyAlignment="1" applyProtection="1">
      <alignment horizontal="right" vertical="center"/>
      <protection locked="0"/>
    </xf>
    <xf numFmtId="49" fontId="16" fillId="17" borderId="0" xfId="6" applyNumberFormat="1" applyFont="1" applyFill="1" applyBorder="1" applyAlignment="1" applyProtection="1">
      <alignment vertical="center" wrapText="1"/>
      <protection locked="0"/>
    </xf>
    <xf numFmtId="49" fontId="31" fillId="17" borderId="12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2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9" fontId="31" fillId="17" borderId="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6" xfId="6" applyNumberFormat="1" applyFont="1" applyFill="1" applyBorder="1" applyAlignment="1" applyProtection="1">
      <alignment horizontal="center" vertical="center" wrapText="1"/>
      <protection locked="0"/>
    </xf>
    <xf numFmtId="3" fontId="31" fillId="0" borderId="118" xfId="6" applyNumberFormat="1" applyFont="1" applyFill="1" applyBorder="1" applyAlignment="1" applyProtection="1">
      <alignment horizontal="right" vertical="center"/>
      <protection locked="0"/>
    </xf>
    <xf numFmtId="49" fontId="85" fillId="20" borderId="7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15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16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7" xfId="6" applyNumberFormat="1" applyFont="1" applyFill="1" applyBorder="1" applyAlignment="1" applyProtection="1">
      <alignment horizontal="right" vertical="center"/>
      <protection locked="0"/>
    </xf>
    <xf numFmtId="49" fontId="31" fillId="17" borderId="14" xfId="6" applyNumberFormat="1" applyFont="1" applyFill="1" applyBorder="1" applyAlignment="1" applyProtection="1">
      <alignment vertical="center" wrapText="1"/>
      <protection locked="0"/>
    </xf>
    <xf numFmtId="49" fontId="31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25" xfId="6" applyNumberFormat="1" applyFont="1" applyFill="1" applyBorder="1" applyAlignment="1" applyProtection="1">
      <alignment vertical="center" wrapText="1"/>
      <protection locked="0"/>
    </xf>
    <xf numFmtId="49" fontId="16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6" fillId="0" borderId="25" xfId="6" applyNumberFormat="1" applyFont="1" applyFill="1" applyBorder="1" applyAlignment="1" applyProtection="1">
      <alignment vertical="center" wrapText="1"/>
      <protection locked="0"/>
    </xf>
    <xf numFmtId="49" fontId="16" fillId="0" borderId="30" xfId="6" applyNumberFormat="1" applyFont="1" applyFill="1" applyBorder="1" applyAlignment="1" applyProtection="1">
      <alignment vertical="center" wrapText="1"/>
      <protection locked="0"/>
    </xf>
    <xf numFmtId="49" fontId="31" fillId="17" borderId="25" xfId="6" applyNumberFormat="1" applyFont="1" applyFill="1" applyBorder="1" applyAlignment="1" applyProtection="1">
      <alignment vertical="center" wrapText="1"/>
      <protection locked="0"/>
    </xf>
    <xf numFmtId="49" fontId="31" fillId="0" borderId="4" xfId="6" applyNumberFormat="1" applyFont="1" applyFill="1" applyBorder="1" applyAlignment="1" applyProtection="1">
      <alignment vertical="center" wrapText="1"/>
      <protection locked="0"/>
    </xf>
    <xf numFmtId="49" fontId="31" fillId="17" borderId="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0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09" xfId="6" applyNumberFormat="1" applyFont="1" applyFill="1" applyBorder="1" applyAlignment="1" applyProtection="1">
      <alignment vertical="center"/>
      <protection locked="0"/>
    </xf>
    <xf numFmtId="49" fontId="31" fillId="0" borderId="7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25" xfId="0" applyFont="1" applyBorder="1" applyAlignment="1">
      <alignment vertical="center" wrapText="1"/>
    </xf>
    <xf numFmtId="3" fontId="5" fillId="0" borderId="109" xfId="6" applyNumberFormat="1" applyFont="1" applyFill="1" applyBorder="1" applyAlignment="1" applyProtection="1">
      <alignment vertical="center"/>
      <protection locked="0"/>
    </xf>
    <xf numFmtId="49" fontId="5" fillId="17" borderId="14" xfId="6" applyNumberFormat="1" applyFont="1" applyFill="1" applyBorder="1" applyAlignment="1" applyProtection="1">
      <alignment vertical="center" wrapText="1"/>
      <protection locked="0"/>
    </xf>
    <xf numFmtId="0" fontId="84" fillId="0" borderId="14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49" fontId="5" fillId="17" borderId="3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29" xfId="6" applyNumberFormat="1" applyFont="1" applyFill="1" applyBorder="1" applyAlignment="1" applyProtection="1">
      <alignment horizontal="right" vertical="center"/>
      <protection locked="0"/>
    </xf>
    <xf numFmtId="49" fontId="31" fillId="17" borderId="13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3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3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35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0" xfId="6" applyNumberFormat="1" applyFont="1" applyFill="1" applyBorder="1" applyAlignment="1" applyProtection="1">
      <alignment horizontal="left" vertical="center"/>
      <protection locked="0"/>
    </xf>
    <xf numFmtId="3" fontId="5" fillId="0" borderId="129" xfId="6" applyNumberFormat="1" applyFont="1" applyFill="1" applyBorder="1" applyAlignment="1" applyProtection="1">
      <alignment horizontal="right" vertical="center"/>
      <protection locked="0"/>
    </xf>
    <xf numFmtId="49" fontId="5" fillId="0" borderId="7" xfId="6" applyNumberFormat="1" applyFont="1" applyFill="1" applyBorder="1" applyAlignment="1" applyProtection="1">
      <alignment vertical="center" wrapText="1"/>
      <protection locked="0"/>
    </xf>
    <xf numFmtId="49" fontId="5" fillId="17" borderId="11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36" xfId="6" applyNumberFormat="1" applyFont="1" applyFill="1" applyBorder="1" applyAlignment="1" applyProtection="1">
      <alignment horizontal="left" vertical="center" wrapText="1"/>
      <protection locked="0"/>
    </xf>
    <xf numFmtId="3" fontId="8" fillId="6" borderId="109" xfId="6" applyNumberFormat="1" applyFont="1" applyFill="1" applyBorder="1" applyAlignment="1" applyProtection="1">
      <alignment horizontal="right" vertical="center"/>
      <protection locked="0"/>
    </xf>
    <xf numFmtId="49" fontId="8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7" xfId="6" applyNumberFormat="1" applyFont="1" applyFill="1" applyBorder="1" applyAlignment="1" applyProtection="1">
      <alignment horizontal="left" vertical="center" wrapText="1"/>
      <protection locked="0"/>
    </xf>
    <xf numFmtId="4" fontId="5" fillId="0" borderId="109" xfId="6" applyNumberFormat="1" applyFont="1" applyFill="1" applyBorder="1" applyAlignment="1" applyProtection="1">
      <alignment horizontal="right" vertical="center"/>
      <protection locked="0"/>
    </xf>
    <xf numFmtId="4" fontId="8" fillId="0" borderId="109" xfId="6" applyNumberFormat="1" applyFont="1" applyFill="1" applyBorder="1" applyAlignment="1" applyProtection="1">
      <alignment horizontal="right" vertical="center"/>
      <protection locked="0"/>
    </xf>
    <xf numFmtId="49" fontId="16" fillId="17" borderId="30" xfId="6" applyNumberFormat="1" applyFont="1" applyFill="1" applyBorder="1" applyAlignment="1" applyProtection="1">
      <alignment vertical="center" wrapText="1"/>
      <protection locked="0"/>
    </xf>
    <xf numFmtId="2" fontId="5" fillId="0" borderId="1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" xfId="6" applyNumberFormat="1" applyFont="1" applyFill="1" applyBorder="1" applyAlignment="1" applyProtection="1">
      <alignment horizontal="right" vertical="center"/>
      <protection locked="0"/>
    </xf>
    <xf numFmtId="49" fontId="85" fillId="0" borderId="25" xfId="6" applyNumberFormat="1" applyFont="1" applyFill="1" applyBorder="1" applyAlignment="1" applyProtection="1">
      <alignment vertical="center" wrapText="1"/>
      <protection locked="0"/>
    </xf>
    <xf numFmtId="3" fontId="31" fillId="0" borderId="14" xfId="6" applyNumberFormat="1" applyFont="1" applyFill="1" applyBorder="1" applyAlignment="1" applyProtection="1">
      <alignment horizontal="right" vertical="center"/>
      <protection locked="0"/>
    </xf>
    <xf numFmtId="4" fontId="31" fillId="0" borderId="14" xfId="6" applyNumberFormat="1" applyFont="1" applyFill="1" applyBorder="1" applyAlignment="1" applyProtection="1">
      <alignment horizontal="right" vertical="center"/>
      <protection locked="0"/>
    </xf>
    <xf numFmtId="49" fontId="31" fillId="17" borderId="30" xfId="6" applyNumberFormat="1" applyFont="1" applyFill="1" applyBorder="1" applyAlignment="1" applyProtection="1">
      <alignment horizontal="left" vertical="center" wrapText="1"/>
      <protection locked="0"/>
    </xf>
    <xf numFmtId="49" fontId="8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85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35" fillId="10" borderId="8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6" applyNumberFormat="1" applyFont="1" applyFill="1" applyBorder="1" applyAlignment="1" applyProtection="1">
      <alignment vertical="center" wrapText="1"/>
      <protection locked="0"/>
    </xf>
    <xf numFmtId="49" fontId="85" fillId="10" borderId="84" xfId="6" applyNumberFormat="1" applyFont="1" applyFill="1" applyBorder="1" applyAlignment="1" applyProtection="1">
      <alignment horizontal="center" vertical="center" wrapText="1"/>
      <protection locked="0"/>
    </xf>
    <xf numFmtId="49" fontId="19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37" xfId="6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6" applyNumberFormat="1" applyFont="1" applyFill="1" applyBorder="1" applyAlignment="1" applyProtection="1">
      <alignment horizontal="center" vertical="center" wrapText="1"/>
      <protection locked="0"/>
    </xf>
    <xf numFmtId="4" fontId="35" fillId="0" borderId="109" xfId="6" applyNumberFormat="1" applyFont="1" applyFill="1" applyBorder="1" applyAlignment="1" applyProtection="1">
      <alignment horizontal="right" vertical="center"/>
      <protection locked="0"/>
    </xf>
    <xf numFmtId="49" fontId="35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14" xfId="6" applyNumberFormat="1" applyFont="1" applyFill="1" applyBorder="1" applyAlignment="1" applyProtection="1">
      <alignment vertical="center" wrapText="1"/>
      <protection locked="0"/>
    </xf>
    <xf numFmtId="49" fontId="16" fillId="0" borderId="14" xfId="6" applyNumberFormat="1" applyFont="1" applyFill="1" applyBorder="1" applyAlignment="1" applyProtection="1">
      <alignment vertical="center" wrapText="1"/>
      <protection locked="0"/>
    </xf>
    <xf numFmtId="49" fontId="5" fillId="17" borderId="116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139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135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6" applyNumberFormat="1" applyFont="1" applyFill="1" applyBorder="1" applyAlignment="1" applyProtection="1">
      <alignment vertical="center"/>
      <protection locked="0"/>
    </xf>
    <xf numFmtId="3" fontId="5" fillId="0" borderId="109" xfId="7" applyNumberFormat="1" applyFont="1" applyBorder="1" applyAlignment="1">
      <alignment horizontal="right" vertical="center"/>
    </xf>
    <xf numFmtId="3" fontId="35" fillId="0" borderId="109" xfId="6" applyNumberFormat="1" applyFont="1" applyFill="1" applyBorder="1" applyAlignment="1" applyProtection="1">
      <alignment vertical="center"/>
      <protection locked="0"/>
    </xf>
    <xf numFmtId="49" fontId="12" fillId="21" borderId="14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7" xfId="6" applyNumberFormat="1" applyFont="1" applyFill="1" applyBorder="1" applyAlignment="1" applyProtection="1">
      <alignment vertical="center" wrapText="1"/>
      <protection locked="0"/>
    </xf>
    <xf numFmtId="49" fontId="8" fillId="16" borderId="86" xfId="6" applyNumberFormat="1" applyFont="1" applyFill="1" applyBorder="1" applyAlignment="1" applyProtection="1">
      <alignment horizontal="center" vertical="center" wrapText="1"/>
      <protection locked="0"/>
    </xf>
    <xf numFmtId="49" fontId="8" fillId="16" borderId="3" xfId="6" applyNumberFormat="1" applyFont="1" applyFill="1" applyBorder="1" applyAlignment="1" applyProtection="1">
      <alignment horizontal="center" vertical="center" wrapText="1"/>
      <protection locked="0"/>
    </xf>
    <xf numFmtId="49" fontId="8" fillId="16" borderId="106" xfId="6" applyNumberFormat="1" applyFont="1" applyFill="1" applyBorder="1" applyAlignment="1" applyProtection="1">
      <alignment horizontal="center" vertical="center" wrapText="1"/>
      <protection locked="0"/>
    </xf>
    <xf numFmtId="49" fontId="8" fillId="16" borderId="107" xfId="6" applyNumberFormat="1" applyFont="1" applyFill="1" applyBorder="1" applyAlignment="1" applyProtection="1">
      <alignment horizontal="left" vertical="center" wrapText="1"/>
      <protection locked="0"/>
    </xf>
    <xf numFmtId="3" fontId="8" fillId="11" borderId="84" xfId="6" applyNumberFormat="1" applyFont="1" applyFill="1" applyBorder="1" applyAlignment="1" applyProtection="1">
      <alignment horizontal="right" vertical="center"/>
      <protection locked="0"/>
    </xf>
    <xf numFmtId="49" fontId="5" fillId="21" borderId="2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40" xfId="6" applyNumberFormat="1" applyFont="1" applyFill="1" applyBorder="1" applyAlignment="1" applyProtection="1">
      <alignment horizontal="right" vertical="center"/>
      <protection locked="0"/>
    </xf>
    <xf numFmtId="49" fontId="5" fillId="17" borderId="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0" xfId="6" applyNumberFormat="1" applyFont="1" applyFill="1" applyBorder="1" applyAlignment="1" applyProtection="1">
      <alignment horizontal="center" vertical="center" wrapText="1"/>
      <protection locked="0"/>
    </xf>
    <xf numFmtId="3" fontId="31" fillId="6" borderId="118" xfId="6" applyNumberFormat="1" applyFont="1" applyFill="1" applyBorder="1" applyAlignment="1" applyProtection="1">
      <alignment horizontal="right" vertical="center"/>
      <protection locked="0"/>
    </xf>
    <xf numFmtId="49" fontId="31" fillId="17" borderId="115" xfId="6" applyNumberFormat="1" applyFont="1" applyFill="1" applyBorder="1" applyAlignment="1" applyProtection="1">
      <alignment horizontal="center" vertical="center" wrapText="1"/>
      <protection locked="0"/>
    </xf>
    <xf numFmtId="49" fontId="31" fillId="21" borderId="14" xfId="6" applyNumberFormat="1" applyFont="1" applyFill="1" applyBorder="1" applyAlignment="1" applyProtection="1">
      <alignment vertical="center" wrapText="1"/>
      <protection locked="0"/>
    </xf>
    <xf numFmtId="49" fontId="31" fillId="21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42" xfId="6" applyNumberFormat="1" applyFont="1" applyFill="1" applyBorder="1" applyAlignment="1" applyProtection="1">
      <alignment horizontal="center" vertical="center" wrapText="1"/>
      <protection locked="0"/>
    </xf>
    <xf numFmtId="3" fontId="8" fillId="2" borderId="141" xfId="6" applyNumberFormat="1" applyFont="1" applyFill="1" applyBorder="1" applyAlignment="1" applyProtection="1">
      <alignment horizontal="right" vertical="center"/>
      <protection locked="0"/>
    </xf>
    <xf numFmtId="49" fontId="5" fillId="17" borderId="4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4" xfId="6" applyNumberFormat="1" applyFont="1" applyFill="1" applyBorder="1" applyAlignment="1" applyProtection="1">
      <alignment horizontal="left" vertical="center" wrapText="1"/>
      <protection locked="0"/>
    </xf>
    <xf numFmtId="3" fontId="8" fillId="6" borderId="14" xfId="6" applyNumberFormat="1" applyFont="1" applyFill="1" applyBorder="1" applyAlignment="1" applyProtection="1">
      <alignment horizontal="right" vertical="center"/>
      <protection locked="0"/>
    </xf>
    <xf numFmtId="49" fontId="16" fillId="21" borderId="25" xfId="6" applyNumberFormat="1" applyFont="1" applyFill="1" applyBorder="1" applyAlignment="1" applyProtection="1">
      <alignment vertical="center" wrapText="1"/>
      <protection locked="0"/>
    </xf>
    <xf numFmtId="49" fontId="5" fillId="17" borderId="138" xfId="6" applyNumberFormat="1" applyFont="1" applyFill="1" applyBorder="1" applyAlignment="1" applyProtection="1">
      <alignment horizontal="center" vertical="center" wrapText="1"/>
      <protection locked="0"/>
    </xf>
    <xf numFmtId="3" fontId="5" fillId="6" borderId="14" xfId="6" applyNumberFormat="1" applyFont="1" applyFill="1" applyBorder="1" applyAlignment="1" applyProtection="1">
      <alignment horizontal="right" vertical="center"/>
      <protection locked="0"/>
    </xf>
    <xf numFmtId="10" fontId="16" fillId="0" borderId="152" xfId="1" applyNumberFormat="1" applyFont="1" applyFill="1" applyBorder="1" applyAlignment="1" applyProtection="1">
      <alignment horizontal="right" vertical="center"/>
      <protection locked="0"/>
    </xf>
    <xf numFmtId="49" fontId="5" fillId="17" borderId="154" xfId="6" applyNumberFormat="1" applyFont="1" applyFill="1" applyBorder="1" applyAlignment="1" applyProtection="1">
      <alignment horizontal="center" vertical="center" wrapText="1"/>
      <protection locked="0"/>
    </xf>
    <xf numFmtId="4" fontId="8" fillId="2" borderId="141" xfId="6" applyNumberFormat="1" applyFont="1" applyFill="1" applyBorder="1" applyAlignment="1" applyProtection="1">
      <alignment horizontal="right" vertical="center"/>
      <protection locked="0"/>
    </xf>
    <xf numFmtId="10" fontId="8" fillId="2" borderId="141" xfId="1" applyNumberFormat="1" applyFont="1" applyFill="1" applyBorder="1" applyAlignment="1" applyProtection="1">
      <alignment horizontal="right" vertical="center"/>
      <protection locked="0"/>
    </xf>
    <xf numFmtId="3" fontId="5" fillId="0" borderId="141" xfId="6" applyNumberFormat="1" applyFont="1" applyFill="1" applyBorder="1" applyAlignment="1" applyProtection="1">
      <alignment horizontal="right" vertical="center"/>
      <protection locked="0"/>
    </xf>
    <xf numFmtId="3" fontId="5" fillId="17" borderId="118" xfId="6" applyNumberFormat="1" applyFont="1" applyFill="1" applyBorder="1" applyAlignment="1" applyProtection="1">
      <alignment horizontal="right" vertical="center" wrapText="1"/>
      <protection locked="0"/>
    </xf>
    <xf numFmtId="49" fontId="39" fillId="17" borderId="0" xfId="6" applyNumberFormat="1" applyFont="1" applyFill="1" applyBorder="1" applyAlignment="1" applyProtection="1">
      <alignment vertical="top" wrapText="1"/>
      <protection locked="0"/>
    </xf>
    <xf numFmtId="3" fontId="39" fillId="17" borderId="0" xfId="6" applyNumberFormat="1" applyFont="1" applyFill="1" applyBorder="1" applyAlignment="1" applyProtection="1">
      <alignment vertical="top" wrapText="1"/>
      <protection locked="0"/>
    </xf>
    <xf numFmtId="4" fontId="39" fillId="17" borderId="0" xfId="6" applyNumberFormat="1" applyFont="1" applyFill="1" applyBorder="1" applyAlignment="1" applyProtection="1">
      <alignment vertical="top" wrapText="1"/>
      <protection locked="0"/>
    </xf>
    <xf numFmtId="3" fontId="16" fillId="0" borderId="0" xfId="6" applyNumberFormat="1" applyFont="1" applyFill="1" applyBorder="1" applyAlignment="1" applyProtection="1">
      <alignment horizontal="right" vertical="center"/>
      <protection locked="0"/>
    </xf>
    <xf numFmtId="4" fontId="16" fillId="0" borderId="0" xfId="6" applyNumberFormat="1" applyFont="1" applyFill="1" applyBorder="1" applyAlignment="1" applyProtection="1">
      <alignment horizontal="right" vertical="center"/>
      <protection locked="0"/>
    </xf>
    <xf numFmtId="3" fontId="31" fillId="0" borderId="0" xfId="6" applyNumberFormat="1" applyFont="1" applyFill="1" applyBorder="1" applyAlignment="1" applyProtection="1">
      <alignment horizontal="right" vertical="center"/>
      <protection locked="0"/>
    </xf>
    <xf numFmtId="0" fontId="13" fillId="6" borderId="14" xfId="2" applyFont="1" applyFill="1" applyBorder="1" applyAlignment="1">
      <alignment horizontal="center" vertical="center" wrapText="1"/>
    </xf>
    <xf numFmtId="0" fontId="13" fillId="6" borderId="16" xfId="2" applyFont="1" applyFill="1" applyBorder="1" applyAlignment="1">
      <alignment horizontal="center" vertical="center" wrapText="1"/>
    </xf>
    <xf numFmtId="0" fontId="5" fillId="6" borderId="32" xfId="4" applyFont="1" applyFill="1" applyBorder="1" applyAlignment="1">
      <alignment horizontal="left" vertical="center" wrapText="1"/>
    </xf>
    <xf numFmtId="0" fontId="5" fillId="6" borderId="7" xfId="2" applyFont="1" applyFill="1" applyBorder="1" applyAlignment="1">
      <alignment horizontal="center" vertical="center" wrapText="1"/>
    </xf>
    <xf numFmtId="3" fontId="14" fillId="0" borderId="7" xfId="3" applyNumberFormat="1" applyFont="1" applyFill="1" applyBorder="1" applyAlignment="1">
      <alignment horizontal="right" vertical="center"/>
    </xf>
    <xf numFmtId="0" fontId="5" fillId="0" borderId="14" xfId="2" applyFont="1" applyBorder="1" applyAlignment="1">
      <alignment vertical="center" wrapText="1"/>
    </xf>
    <xf numFmtId="0" fontId="13" fillId="0" borderId="25" xfId="2" applyFont="1" applyBorder="1" applyAlignment="1">
      <alignment horizontal="left" vertical="center" wrapText="1"/>
    </xf>
    <xf numFmtId="49" fontId="5" fillId="0" borderId="14" xfId="2" quotePrefix="1" applyNumberFormat="1" applyFont="1" applyBorder="1" applyAlignment="1">
      <alignment horizontal="center" vertical="center" wrapText="1"/>
    </xf>
    <xf numFmtId="3" fontId="14" fillId="0" borderId="16" xfId="2" applyNumberFormat="1" applyFont="1" applyBorder="1" applyAlignment="1">
      <alignment horizontal="right" vertical="center"/>
    </xf>
    <xf numFmtId="4" fontId="5" fillId="0" borderId="14" xfId="6" applyNumberFormat="1" applyFont="1" applyFill="1" applyBorder="1" applyAlignment="1" applyProtection="1">
      <alignment horizontal="right" vertical="center"/>
      <protection locked="0"/>
    </xf>
    <xf numFmtId="3" fontId="8" fillId="12" borderId="63" xfId="4" applyNumberFormat="1" applyFont="1" applyFill="1" applyBorder="1" applyAlignment="1">
      <alignment horizontal="right" vertical="center"/>
    </xf>
    <xf numFmtId="4" fontId="8" fillId="12" borderId="63" xfId="4" applyNumberFormat="1" applyFont="1" applyFill="1" applyBorder="1" applyAlignment="1">
      <alignment horizontal="right" vertical="center"/>
    </xf>
    <xf numFmtId="10" fontId="8" fillId="12" borderId="62" xfId="8" applyNumberFormat="1" applyFont="1" applyFill="1" applyBorder="1" applyAlignment="1">
      <alignment horizontal="right" vertical="center"/>
    </xf>
    <xf numFmtId="49" fontId="5" fillId="0" borderId="63" xfId="4" applyNumberFormat="1" applyFont="1" applyBorder="1" applyAlignment="1">
      <alignment horizontal="center" vertical="center"/>
    </xf>
    <xf numFmtId="49" fontId="5" fillId="0" borderId="63" xfId="4" applyNumberFormat="1" applyFont="1" applyBorder="1" applyAlignment="1">
      <alignment horizontal="left" vertical="center" wrapText="1"/>
    </xf>
    <xf numFmtId="3" fontId="5" fillId="0" borderId="63" xfId="4" applyNumberFormat="1" applyFont="1" applyBorder="1" applyAlignment="1">
      <alignment horizontal="right" vertical="center"/>
    </xf>
    <xf numFmtId="4" fontId="5" fillId="0" borderId="63" xfId="4" applyNumberFormat="1" applyFont="1" applyBorder="1" applyAlignment="1">
      <alignment vertical="center"/>
    </xf>
    <xf numFmtId="10" fontId="5" fillId="0" borderId="62" xfId="8" applyNumberFormat="1" applyFont="1" applyBorder="1" applyAlignment="1">
      <alignment vertical="center"/>
    </xf>
    <xf numFmtId="0" fontId="13" fillId="0" borderId="0" xfId="4" applyFont="1" applyAlignment="1">
      <alignment horizontal="right" vertical="center" wrapText="1"/>
    </xf>
    <xf numFmtId="3" fontId="8" fillId="13" borderId="63" xfId="4" applyNumberFormat="1" applyFont="1" applyFill="1" applyBorder="1" applyAlignment="1">
      <alignment horizontal="right" vertical="center"/>
    </xf>
    <xf numFmtId="4" fontId="8" fillId="13" borderId="63" xfId="4" applyNumberFormat="1" applyFont="1" applyFill="1" applyBorder="1" applyAlignment="1">
      <alignment horizontal="right" vertical="center"/>
    </xf>
    <xf numFmtId="10" fontId="8" fillId="13" borderId="62" xfId="9" applyNumberFormat="1" applyFont="1" applyFill="1" applyBorder="1" applyAlignment="1">
      <alignment vertical="center"/>
    </xf>
    <xf numFmtId="49" fontId="8" fillId="0" borderId="63" xfId="4" applyNumberFormat="1" applyFont="1" applyBorder="1" applyAlignment="1">
      <alignment horizontal="center" vertical="center" wrapText="1"/>
    </xf>
    <xf numFmtId="3" fontId="8" fillId="0" borderId="63" xfId="4" applyNumberFormat="1" applyFont="1" applyBorder="1" applyAlignment="1">
      <alignment horizontal="right" vertical="center" wrapText="1"/>
    </xf>
    <xf numFmtId="49" fontId="89" fillId="0" borderId="63" xfId="4" applyNumberFormat="1" applyFont="1" applyBorder="1" applyAlignment="1">
      <alignment horizontal="center" vertical="center" wrapText="1"/>
    </xf>
    <xf numFmtId="3" fontId="89" fillId="0" borderId="63" xfId="4" applyNumberFormat="1" applyFont="1" applyBorder="1" applyAlignment="1">
      <alignment horizontal="right" vertical="center" wrapText="1"/>
    </xf>
    <xf numFmtId="4" fontId="8" fillId="0" borderId="63" xfId="4" applyNumberFormat="1" applyFont="1" applyBorder="1" applyAlignment="1">
      <alignment horizontal="right" vertical="center"/>
    </xf>
    <xf numFmtId="4" fontId="5" fillId="0" borderId="63" xfId="4" applyNumberFormat="1" applyFont="1" applyBorder="1" applyAlignment="1">
      <alignment horizontal="right" vertical="center"/>
    </xf>
    <xf numFmtId="4" fontId="13" fillId="0" borderId="63" xfId="4" applyNumberFormat="1" applyFont="1" applyBorder="1" applyAlignment="1">
      <alignment horizontal="right" vertical="center"/>
    </xf>
    <xf numFmtId="4" fontId="8" fillId="0" borderId="58" xfId="4" applyNumberFormat="1" applyFont="1" applyBorder="1" applyAlignment="1">
      <alignment horizontal="right" vertical="center"/>
    </xf>
    <xf numFmtId="4" fontId="13" fillId="0" borderId="58" xfId="4" applyNumberFormat="1" applyFont="1" applyBorder="1" applyAlignment="1">
      <alignment horizontal="right" vertical="center"/>
    </xf>
    <xf numFmtId="10" fontId="8" fillId="10" borderId="84" xfId="1" applyNumberFormat="1" applyFont="1" applyFill="1" applyBorder="1" applyAlignment="1" applyProtection="1">
      <alignment horizontal="right" vertical="center"/>
      <protection locked="0"/>
    </xf>
    <xf numFmtId="4" fontId="8" fillId="0" borderId="14" xfId="6" applyNumberFormat="1" applyFont="1" applyFill="1" applyBorder="1" applyAlignment="1" applyProtection="1">
      <alignment horizontal="right" vertical="center"/>
      <protection locked="0"/>
    </xf>
    <xf numFmtId="10" fontId="5" fillId="0" borderId="30" xfId="1" applyNumberFormat="1" applyFont="1" applyFill="1" applyBorder="1" applyAlignment="1" applyProtection="1">
      <alignment horizontal="right" vertical="center"/>
      <protection locked="0"/>
    </xf>
    <xf numFmtId="4" fontId="5" fillId="0" borderId="118" xfId="6" applyNumberFormat="1" applyFont="1" applyFill="1" applyBorder="1" applyAlignment="1" applyProtection="1">
      <alignment horizontal="right" vertical="center"/>
      <protection locked="0"/>
    </xf>
    <xf numFmtId="4" fontId="5" fillId="0" borderId="158" xfId="4" applyNumberFormat="1" applyFont="1" applyBorder="1" applyAlignment="1">
      <alignment horizontal="right" vertical="center"/>
    </xf>
    <xf numFmtId="3" fontId="36" fillId="0" borderId="147" xfId="3" applyNumberFormat="1" applyFont="1" applyFill="1" applyBorder="1" applyAlignment="1">
      <alignment horizontal="right" vertical="center"/>
    </xf>
    <xf numFmtId="0" fontId="5" fillId="6" borderId="14" xfId="2" applyFont="1" applyFill="1" applyBorder="1" applyAlignment="1">
      <alignment horizontal="center" vertical="center" wrapText="1"/>
    </xf>
    <xf numFmtId="3" fontId="5" fillId="0" borderId="147" xfId="2" applyNumberFormat="1" applyFont="1" applyBorder="1" applyAlignment="1">
      <alignment horizontal="right" vertical="center"/>
    </xf>
    <xf numFmtId="4" fontId="5" fillId="0" borderId="157" xfId="2" applyNumberFormat="1" applyFont="1" applyBorder="1" applyAlignment="1">
      <alignment horizontal="right" vertical="center"/>
    </xf>
    <xf numFmtId="10" fontId="14" fillId="0" borderId="147" xfId="1" applyNumberFormat="1" applyFont="1" applyFill="1" applyBorder="1" applyAlignment="1">
      <alignment horizontal="right" vertical="center"/>
    </xf>
    <xf numFmtId="49" fontId="8" fillId="3" borderId="11" xfId="2" applyNumberFormat="1" applyFont="1" applyFill="1" applyBorder="1" applyAlignment="1">
      <alignment horizontal="center" vertical="center" wrapText="1"/>
    </xf>
    <xf numFmtId="49" fontId="8" fillId="3" borderId="13" xfId="2" applyNumberFormat="1" applyFont="1" applyFill="1" applyBorder="1" applyAlignment="1">
      <alignment horizontal="left" vertical="center" wrapText="1"/>
    </xf>
    <xf numFmtId="0" fontId="5" fillId="0" borderId="147" xfId="2" applyFont="1" applyBorder="1" applyAlignment="1">
      <alignment vertical="center" wrapText="1"/>
    </xf>
    <xf numFmtId="49" fontId="12" fillId="4" borderId="2" xfId="2" applyNumberFormat="1" applyFont="1" applyFill="1" applyBorder="1" applyAlignment="1">
      <alignment horizontal="center" vertical="center" wrapText="1"/>
    </xf>
    <xf numFmtId="0" fontId="5" fillId="0" borderId="20" xfId="2" quotePrefix="1" applyFont="1" applyBorder="1" applyAlignment="1">
      <alignment horizontal="left" vertical="center" wrapText="1"/>
    </xf>
    <xf numFmtId="4" fontId="14" fillId="0" borderId="17" xfId="2" applyNumberFormat="1" applyFont="1" applyBorder="1" applyAlignment="1">
      <alignment horizontal="right" vertical="center"/>
    </xf>
    <xf numFmtId="0" fontId="5" fillId="6" borderId="19" xfId="2" applyFont="1" applyFill="1" applyBorder="1" applyAlignment="1">
      <alignment vertical="center" wrapText="1"/>
    </xf>
    <xf numFmtId="0" fontId="5" fillId="6" borderId="18" xfId="2" applyFont="1" applyFill="1" applyBorder="1" applyAlignment="1">
      <alignment horizontal="center" vertical="center" wrapText="1"/>
    </xf>
    <xf numFmtId="3" fontId="7" fillId="5" borderId="7" xfId="2" applyNumberFormat="1" applyFont="1" applyFill="1" applyBorder="1" applyAlignment="1">
      <alignment horizontal="right" vertical="center"/>
    </xf>
    <xf numFmtId="0" fontId="12" fillId="4" borderId="1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horizontal="left" vertical="center" wrapText="1"/>
    </xf>
    <xf numFmtId="0" fontId="5" fillId="4" borderId="7" xfId="2" quotePrefix="1" applyFont="1" applyFill="1" applyBorder="1" applyAlignment="1">
      <alignment horizontal="center" vertical="center" wrapText="1"/>
    </xf>
    <xf numFmtId="0" fontId="5" fillId="5" borderId="5" xfId="2" quotePrefix="1" applyFont="1" applyFill="1" applyBorder="1" applyAlignment="1">
      <alignment horizontal="center" vertical="center" wrapText="1"/>
    </xf>
    <xf numFmtId="3" fontId="14" fillId="5" borderId="5" xfId="2" applyNumberFormat="1" applyFont="1" applyFill="1" applyBorder="1" applyAlignment="1">
      <alignment horizontal="right" vertical="center"/>
    </xf>
    <xf numFmtId="4" fontId="14" fillId="5" borderId="24" xfId="2" applyNumberFormat="1" applyFont="1" applyFill="1" applyBorder="1" applyAlignment="1">
      <alignment horizontal="right" vertical="center"/>
    </xf>
    <xf numFmtId="10" fontId="7" fillId="5" borderId="87" xfId="1" applyNumberFormat="1" applyFont="1" applyFill="1" applyBorder="1" applyAlignment="1">
      <alignment horizontal="right" vertical="center"/>
    </xf>
    <xf numFmtId="0" fontId="5" fillId="0" borderId="0" xfId="2" applyFont="1" applyAlignment="1">
      <alignment horizontal="left" vertical="center" wrapText="1"/>
    </xf>
    <xf numFmtId="0" fontId="5" fillId="6" borderId="87" xfId="2" quotePrefix="1" applyFont="1" applyFill="1" applyBorder="1" applyAlignment="1">
      <alignment horizontal="center" vertical="center" wrapText="1"/>
    </xf>
    <xf numFmtId="3" fontId="14" fillId="0" borderId="54" xfId="3" applyNumberFormat="1" applyFont="1" applyFill="1" applyBorder="1" applyAlignment="1">
      <alignment horizontal="right" vertical="center"/>
    </xf>
    <xf numFmtId="4" fontId="5" fillId="0" borderId="79" xfId="2" applyNumberFormat="1" applyFont="1" applyBorder="1" applyAlignment="1">
      <alignment horizontal="right" vertical="center"/>
    </xf>
    <xf numFmtId="10" fontId="14" fillId="0" borderId="54" xfId="1" applyNumberFormat="1" applyFont="1" applyFill="1" applyBorder="1" applyAlignment="1">
      <alignment horizontal="right" vertical="center"/>
    </xf>
    <xf numFmtId="0" fontId="13" fillId="5" borderId="91" xfId="2" quotePrefix="1" applyFont="1" applyFill="1" applyBorder="1" applyAlignment="1">
      <alignment horizontal="left" vertical="center" wrapText="1"/>
    </xf>
    <xf numFmtId="3" fontId="7" fillId="5" borderId="91" xfId="2" applyNumberFormat="1" applyFont="1" applyFill="1" applyBorder="1" applyAlignment="1">
      <alignment horizontal="right" vertical="center"/>
    </xf>
    <xf numFmtId="4" fontId="13" fillId="5" borderId="89" xfId="2" applyNumberFormat="1" applyFont="1" applyFill="1" applyBorder="1" applyAlignment="1">
      <alignment horizontal="right" vertical="center"/>
    </xf>
    <xf numFmtId="10" fontId="7" fillId="5" borderId="91" xfId="1" applyNumberFormat="1" applyFont="1" applyFill="1" applyBorder="1" applyAlignment="1">
      <alignment horizontal="right" vertical="center"/>
    </xf>
    <xf numFmtId="0" fontId="8" fillId="3" borderId="84" xfId="2" applyFont="1" applyFill="1" applyBorder="1" applyAlignment="1">
      <alignment vertical="center" wrapText="1"/>
    </xf>
    <xf numFmtId="3" fontId="11" fillId="3" borderId="84" xfId="2" applyNumberFormat="1" applyFont="1" applyFill="1" applyBorder="1" applyAlignment="1">
      <alignment horizontal="right" vertical="center"/>
    </xf>
    <xf numFmtId="10" fontId="11" fillId="3" borderId="84" xfId="1" applyNumberFormat="1" applyFont="1" applyFill="1" applyBorder="1" applyAlignment="1">
      <alignment horizontal="right" vertical="center"/>
    </xf>
    <xf numFmtId="0" fontId="78" fillId="3" borderId="84" xfId="2" applyFont="1" applyFill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right" vertical="center"/>
    </xf>
    <xf numFmtId="0" fontId="78" fillId="3" borderId="2" xfId="4" applyFont="1" applyFill="1" applyBorder="1" applyAlignment="1">
      <alignment horizontal="center" vertical="center" wrapText="1"/>
    </xf>
    <xf numFmtId="0" fontId="78" fillId="3" borderId="11" xfId="4" applyFont="1" applyFill="1" applyBorder="1" applyAlignment="1">
      <alignment horizontal="center" vertical="center" wrapText="1"/>
    </xf>
    <xf numFmtId="0" fontId="32" fillId="5" borderId="7" xfId="4" applyFont="1" applyFill="1" applyBorder="1" applyAlignment="1">
      <alignment horizontal="left" vertical="center" wrapText="1"/>
    </xf>
    <xf numFmtId="4" fontId="34" fillId="4" borderId="12" xfId="2" applyNumberFormat="1" applyFont="1" applyFill="1" applyBorder="1" applyAlignment="1">
      <alignment horizontal="right" vertical="center"/>
    </xf>
    <xf numFmtId="10" fontId="34" fillId="4" borderId="2" xfId="1" applyNumberFormat="1" applyFont="1" applyFill="1" applyBorder="1" applyAlignment="1">
      <alignment horizontal="right" vertical="center"/>
    </xf>
    <xf numFmtId="10" fontId="33" fillId="5" borderId="16" xfId="1" applyNumberFormat="1" applyFont="1" applyFill="1" applyBorder="1" applyAlignment="1">
      <alignment horizontal="right" vertical="center"/>
    </xf>
    <xf numFmtId="3" fontId="31" fillId="0" borderId="20" xfId="2" applyNumberFormat="1" applyFont="1" applyBorder="1" applyAlignment="1">
      <alignment horizontal="right" vertical="center"/>
    </xf>
    <xf numFmtId="4" fontId="31" fillId="0" borderId="21" xfId="2" applyNumberFormat="1" applyFont="1" applyBorder="1" applyAlignment="1">
      <alignment horizontal="right" vertical="center"/>
    </xf>
    <xf numFmtId="10" fontId="36" fillId="0" borderId="20" xfId="1" applyNumberFormat="1" applyFont="1" applyFill="1" applyBorder="1" applyAlignment="1">
      <alignment horizontal="right" vertical="center"/>
    </xf>
    <xf numFmtId="0" fontId="85" fillId="4" borderId="10" xfId="4" applyFont="1" applyFill="1" applyBorder="1" applyAlignment="1">
      <alignment horizontal="center" vertical="center" wrapText="1"/>
    </xf>
    <xf numFmtId="0" fontId="85" fillId="4" borderId="8" xfId="4" applyFont="1" applyFill="1" applyBorder="1" applyAlignment="1">
      <alignment vertical="center" wrapText="1"/>
    </xf>
    <xf numFmtId="0" fontId="85" fillId="4" borderId="7" xfId="4" applyFont="1" applyFill="1" applyBorder="1" applyAlignment="1">
      <alignment vertical="center" wrapText="1"/>
    </xf>
    <xf numFmtId="4" fontId="34" fillId="4" borderId="8" xfId="2" applyNumberFormat="1" applyFont="1" applyFill="1" applyBorder="1" applyAlignment="1">
      <alignment horizontal="right" vertical="center"/>
    </xf>
    <xf numFmtId="10" fontId="34" fillId="4" borderId="7" xfId="1" applyNumberFormat="1" applyFont="1" applyFill="1" applyBorder="1" applyAlignment="1">
      <alignment horizontal="right" vertical="center"/>
    </xf>
    <xf numFmtId="0" fontId="32" fillId="5" borderId="16" xfId="4" applyFont="1" applyFill="1" applyBorder="1" applyAlignment="1">
      <alignment horizontal="left" vertical="center" wrapText="1"/>
    </xf>
    <xf numFmtId="10" fontId="34" fillId="0" borderId="20" xfId="1" applyNumberFormat="1" applyFont="1" applyFill="1" applyBorder="1" applyAlignment="1">
      <alignment horizontal="right" vertical="center"/>
    </xf>
    <xf numFmtId="4" fontId="33" fillId="5" borderId="4" xfId="2" applyNumberFormat="1" applyFont="1" applyFill="1" applyBorder="1" applyAlignment="1">
      <alignment horizontal="right" vertical="center"/>
    </xf>
    <xf numFmtId="49" fontId="31" fillId="6" borderId="20" xfId="4" applyNumberFormat="1" applyFont="1" applyFill="1" applyBorder="1" applyAlignment="1">
      <alignment horizontal="center" vertical="center" wrapText="1"/>
    </xf>
    <xf numFmtId="49" fontId="31" fillId="6" borderId="14" xfId="4" applyNumberFormat="1" applyFont="1" applyFill="1" applyBorder="1" applyAlignment="1">
      <alignment horizontal="center" vertical="center" wrapText="1"/>
    </xf>
    <xf numFmtId="49" fontId="31" fillId="0" borderId="18" xfId="4" applyNumberFormat="1" applyFont="1" applyBorder="1" applyAlignment="1">
      <alignment horizontal="center" vertical="center" wrapText="1"/>
    </xf>
    <xf numFmtId="0" fontId="85" fillId="4" borderId="11" xfId="4" applyFont="1" applyFill="1" applyBorder="1" applyAlignment="1">
      <alignment horizontal="center" vertical="center" wrapText="1"/>
    </xf>
    <xf numFmtId="0" fontId="85" fillId="4" borderId="12" xfId="4" applyFont="1" applyFill="1" applyBorder="1" applyAlignment="1">
      <alignment vertical="center" wrapText="1"/>
    </xf>
    <xf numFmtId="0" fontId="85" fillId="4" borderId="2" xfId="4" applyFont="1" applyFill="1" applyBorder="1" applyAlignment="1">
      <alignment vertical="center" wrapText="1"/>
    </xf>
    <xf numFmtId="0" fontId="32" fillId="5" borderId="14" xfId="4" applyFont="1" applyFill="1" applyBorder="1" applyAlignment="1">
      <alignment horizontal="left" vertical="center" wrapText="1"/>
    </xf>
    <xf numFmtId="49" fontId="31" fillId="0" borderId="14" xfId="4" applyNumberFormat="1" applyFont="1" applyBorder="1" applyAlignment="1">
      <alignment horizontal="center" vertical="center" wrapText="1"/>
    </xf>
    <xf numFmtId="0" fontId="85" fillId="4" borderId="2" xfId="4" applyFont="1" applyFill="1" applyBorder="1" applyAlignment="1">
      <alignment horizontal="center" vertical="center" wrapText="1"/>
    </xf>
    <xf numFmtId="4" fontId="31" fillId="0" borderId="29" xfId="2" applyNumberFormat="1" applyFont="1" applyBorder="1" applyAlignment="1">
      <alignment horizontal="right" vertical="center"/>
    </xf>
    <xf numFmtId="49" fontId="9" fillId="4" borderId="76" xfId="4" applyNumberFormat="1" applyFont="1" applyFill="1" applyBorder="1" applyAlignment="1">
      <alignment horizontal="center" vertical="center"/>
    </xf>
    <xf numFmtId="49" fontId="44" fillId="4" borderId="75" xfId="4" applyNumberFormat="1" applyFont="1" applyFill="1" applyBorder="1" applyAlignment="1">
      <alignment horizontal="center" vertical="center"/>
    </xf>
    <xf numFmtId="49" fontId="9" fillId="4" borderId="75" xfId="4" applyNumberFormat="1" applyFont="1" applyFill="1" applyBorder="1" applyAlignment="1">
      <alignment horizontal="left" vertical="center" wrapText="1"/>
    </xf>
    <xf numFmtId="49" fontId="44" fillId="4" borderId="74" xfId="4" applyNumberFormat="1" applyFont="1" applyFill="1" applyBorder="1" applyAlignment="1">
      <alignment horizontal="center" vertical="center"/>
    </xf>
    <xf numFmtId="3" fontId="9" fillId="4" borderId="75" xfId="4" applyNumberFormat="1" applyFont="1" applyFill="1" applyBorder="1" applyAlignment="1">
      <alignment horizontal="right" vertical="center" wrapText="1"/>
    </xf>
    <xf numFmtId="4" fontId="9" fillId="4" borderId="74" xfId="4" applyNumberFormat="1" applyFont="1" applyFill="1" applyBorder="1" applyAlignment="1">
      <alignment horizontal="right" vertical="center" wrapText="1"/>
    </xf>
    <xf numFmtId="49" fontId="9" fillId="0" borderId="25" xfId="4" applyNumberFormat="1" applyFont="1" applyBorder="1" applyAlignment="1">
      <alignment vertical="center"/>
    </xf>
    <xf numFmtId="49" fontId="9" fillId="3" borderId="16" xfId="4" applyNumberFormat="1" applyFont="1" applyFill="1" applyBorder="1" applyAlignment="1">
      <alignment horizontal="center" vertical="center"/>
    </xf>
    <xf numFmtId="49" fontId="9" fillId="3" borderId="16" xfId="4" applyNumberFormat="1" applyFont="1" applyFill="1" applyBorder="1" applyAlignment="1">
      <alignment horizontal="left" vertical="center" wrapText="1"/>
    </xf>
    <xf numFmtId="49" fontId="9" fillId="3" borderId="44" xfId="4" applyNumberFormat="1" applyFont="1" applyFill="1" applyBorder="1" applyAlignment="1">
      <alignment horizontal="center" vertical="center"/>
    </xf>
    <xf numFmtId="3" fontId="9" fillId="3" borderId="16" xfId="4" applyNumberFormat="1" applyFont="1" applyFill="1" applyBorder="1" applyAlignment="1">
      <alignment horizontal="right" vertical="center"/>
    </xf>
    <xf numFmtId="4" fontId="9" fillId="3" borderId="44" xfId="4" applyNumberFormat="1" applyFont="1" applyFill="1" applyBorder="1" applyAlignment="1">
      <alignment horizontal="right" vertical="center"/>
    </xf>
    <xf numFmtId="49" fontId="44" fillId="6" borderId="56" xfId="4" applyNumberFormat="1" applyFont="1" applyFill="1" applyBorder="1" applyAlignment="1">
      <alignment horizontal="center" vertical="center"/>
    </xf>
    <xf numFmtId="49" fontId="44" fillId="6" borderId="56" xfId="4" applyNumberFormat="1" applyFont="1" applyFill="1" applyBorder="1" applyAlignment="1">
      <alignment horizontal="center" vertical="center" wrapText="1"/>
    </xf>
    <xf numFmtId="49" fontId="44" fillId="6" borderId="0" xfId="4" applyNumberFormat="1" applyFont="1" applyFill="1" applyAlignment="1">
      <alignment horizontal="center" vertical="center"/>
    </xf>
    <xf numFmtId="3" fontId="44" fillId="6" borderId="14" xfId="4" applyNumberFormat="1" applyFont="1" applyFill="1" applyBorder="1" applyAlignment="1">
      <alignment horizontal="right" vertical="center" wrapText="1"/>
    </xf>
    <xf numFmtId="4" fontId="44" fillId="6" borderId="0" xfId="4" applyNumberFormat="1" applyFont="1" applyFill="1" applyAlignment="1">
      <alignment horizontal="right" vertical="center" wrapText="1"/>
    </xf>
    <xf numFmtId="49" fontId="9" fillId="0" borderId="25" xfId="4" applyNumberFormat="1" applyFont="1" applyBorder="1" applyAlignment="1">
      <alignment horizontal="center" vertical="center"/>
    </xf>
    <xf numFmtId="49" fontId="44" fillId="6" borderId="14" xfId="4" applyNumberFormat="1" applyFont="1" applyFill="1" applyBorder="1" applyAlignment="1">
      <alignment horizontal="center" vertical="center"/>
    </xf>
    <xf numFmtId="49" fontId="44" fillId="6" borderId="14" xfId="4" applyNumberFormat="1" applyFont="1" applyFill="1" applyBorder="1" applyAlignment="1">
      <alignment horizontal="center" vertical="center" wrapText="1"/>
    </xf>
    <xf numFmtId="49" fontId="44" fillId="6" borderId="73" xfId="4" applyNumberFormat="1" applyFont="1" applyFill="1" applyBorder="1" applyAlignment="1">
      <alignment horizontal="center" vertical="center"/>
    </xf>
    <xf numFmtId="3" fontId="44" fillId="6" borderId="78" xfId="4" applyNumberFormat="1" applyFont="1" applyFill="1" applyBorder="1" applyAlignment="1">
      <alignment horizontal="right" vertical="center" wrapText="1"/>
    </xf>
    <xf numFmtId="4" fontId="44" fillId="6" borderId="73" xfId="4" applyNumberFormat="1" applyFont="1" applyFill="1" applyBorder="1" applyAlignment="1">
      <alignment horizontal="right" vertical="center" wrapText="1"/>
    </xf>
    <xf numFmtId="49" fontId="9" fillId="3" borderId="78" xfId="4" applyNumberFormat="1" applyFont="1" applyFill="1" applyBorder="1" applyAlignment="1">
      <alignment horizontal="center" vertical="center"/>
    </xf>
    <xf numFmtId="49" fontId="9" fillId="3" borderId="78" xfId="4" applyNumberFormat="1" applyFont="1" applyFill="1" applyBorder="1" applyAlignment="1">
      <alignment horizontal="left" vertical="center" wrapText="1"/>
    </xf>
    <xf numFmtId="49" fontId="9" fillId="3" borderId="73" xfId="4" applyNumberFormat="1" applyFont="1" applyFill="1" applyBorder="1" applyAlignment="1">
      <alignment horizontal="center" vertical="center"/>
    </xf>
    <xf numFmtId="3" fontId="9" fillId="3" borderId="78" xfId="4" applyNumberFormat="1" applyFont="1" applyFill="1" applyBorder="1" applyAlignment="1">
      <alignment horizontal="right" vertical="center"/>
    </xf>
    <xf numFmtId="4" fontId="9" fillId="3" borderId="73" xfId="4" applyNumberFormat="1" applyFont="1" applyFill="1" applyBorder="1" applyAlignment="1">
      <alignment horizontal="right" vertical="center"/>
    </xf>
    <xf numFmtId="3" fontId="9" fillId="4" borderId="74" xfId="4" applyNumberFormat="1" applyFont="1" applyFill="1" applyBorder="1" applyAlignment="1">
      <alignment horizontal="right" vertical="center" wrapText="1"/>
    </xf>
    <xf numFmtId="4" fontId="9" fillId="4" borderId="75" xfId="4" applyNumberFormat="1" applyFont="1" applyFill="1" applyBorder="1" applyAlignment="1">
      <alignment horizontal="right" vertical="center" wrapText="1"/>
    </xf>
    <xf numFmtId="4" fontId="9" fillId="3" borderId="5" xfId="4" applyNumberFormat="1" applyFont="1" applyFill="1" applyBorder="1" applyAlignment="1">
      <alignment horizontal="right" vertical="center"/>
    </xf>
    <xf numFmtId="3" fontId="44" fillId="6" borderId="69" xfId="4" applyNumberFormat="1" applyFont="1" applyFill="1" applyBorder="1" applyAlignment="1">
      <alignment horizontal="right" vertical="center"/>
    </xf>
    <xf numFmtId="4" fontId="44" fillId="6" borderId="57" xfId="4" applyNumberFormat="1" applyFont="1" applyFill="1" applyBorder="1" applyAlignment="1">
      <alignment vertical="center"/>
    </xf>
    <xf numFmtId="4" fontId="44" fillId="0" borderId="109" xfId="4" applyNumberFormat="1" applyFont="1" applyBorder="1" applyAlignment="1">
      <alignment vertical="center"/>
    </xf>
    <xf numFmtId="4" fontId="44" fillId="6" borderId="81" xfId="4" applyNumberFormat="1" applyFont="1" applyFill="1" applyBorder="1" applyAlignment="1">
      <alignment horizontal="right" vertical="center"/>
    </xf>
    <xf numFmtId="49" fontId="44" fillId="6" borderId="78" xfId="4" applyNumberFormat="1" applyFont="1" applyFill="1" applyBorder="1" applyAlignment="1">
      <alignment horizontal="center" vertical="center"/>
    </xf>
    <xf numFmtId="3" fontId="44" fillId="6" borderId="73" xfId="4" applyNumberFormat="1" applyFont="1" applyFill="1" applyBorder="1" applyAlignment="1">
      <alignment horizontal="right" vertical="center"/>
    </xf>
    <xf numFmtId="4" fontId="44" fillId="6" borderId="109" xfId="4" applyNumberFormat="1" applyFont="1" applyFill="1" applyBorder="1" applyAlignment="1">
      <alignment horizontal="right" vertical="center"/>
    </xf>
    <xf numFmtId="4" fontId="44" fillId="6" borderId="77" xfId="4" applyNumberFormat="1" applyFont="1" applyFill="1" applyBorder="1" applyAlignment="1">
      <alignment horizontal="right" vertical="center"/>
    </xf>
    <xf numFmtId="49" fontId="5" fillId="6" borderId="14" xfId="2" quotePrefix="1" applyNumberFormat="1" applyFont="1" applyFill="1" applyBorder="1" applyAlignment="1">
      <alignment horizontal="center" vertical="center" wrapText="1"/>
    </xf>
    <xf numFmtId="0" fontId="5" fillId="6" borderId="25" xfId="2" applyFont="1" applyFill="1" applyBorder="1" applyAlignment="1">
      <alignment vertical="center" wrapText="1"/>
    </xf>
    <xf numFmtId="4" fontId="31" fillId="0" borderId="96" xfId="2" applyNumberFormat="1" applyFont="1" applyBorder="1" applyAlignment="1">
      <alignment horizontal="right" vertical="center"/>
    </xf>
    <xf numFmtId="0" fontId="5" fillId="0" borderId="14" xfId="4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3" fontId="11" fillId="4" borderId="14" xfId="2" applyNumberFormat="1" applyFont="1" applyFill="1" applyBorder="1" applyAlignment="1">
      <alignment horizontal="right" vertical="center"/>
    </xf>
    <xf numFmtId="4" fontId="11" fillId="4" borderId="25" xfId="2" applyNumberFormat="1" applyFont="1" applyFill="1" applyBorder="1" applyAlignment="1">
      <alignment horizontal="right" vertical="center"/>
    </xf>
    <xf numFmtId="0" fontId="12" fillId="4" borderId="8" xfId="4" applyFont="1" applyFill="1" applyBorder="1" applyAlignment="1">
      <alignment vertical="center" wrapText="1"/>
    </xf>
    <xf numFmtId="0" fontId="12" fillId="4" borderId="7" xfId="4" applyFont="1" applyFill="1" applyBorder="1" applyAlignment="1">
      <alignment vertical="center" wrapText="1"/>
    </xf>
    <xf numFmtId="0" fontId="13" fillId="0" borderId="14" xfId="4" applyFont="1" applyBorder="1" applyAlignment="1">
      <alignment vertical="center" wrapText="1"/>
    </xf>
    <xf numFmtId="0" fontId="13" fillId="0" borderId="30" xfId="4" applyFont="1" applyBorder="1" applyAlignment="1">
      <alignment vertical="center" wrapText="1"/>
    </xf>
    <xf numFmtId="0" fontId="13" fillId="6" borderId="30" xfId="4" applyFont="1" applyFill="1" applyBorder="1" applyAlignment="1">
      <alignment horizontal="center" vertical="center" wrapText="1"/>
    </xf>
    <xf numFmtId="0" fontId="5" fillId="0" borderId="8" xfId="4" applyFont="1" applyBorder="1" applyAlignment="1">
      <alignment horizontal="left" vertical="center" wrapText="1"/>
    </xf>
    <xf numFmtId="0" fontId="13" fillId="0" borderId="10" xfId="4" applyFont="1" applyBorder="1" applyAlignment="1">
      <alignment horizontal="left" vertical="center" wrapText="1"/>
    </xf>
    <xf numFmtId="49" fontId="5" fillId="6" borderId="18" xfId="4" applyNumberFormat="1" applyFont="1" applyFill="1" applyBorder="1" applyAlignment="1">
      <alignment horizontal="center" vertical="center" wrapText="1"/>
    </xf>
    <xf numFmtId="0" fontId="12" fillId="0" borderId="30" xfId="4" applyFont="1" applyBorder="1" applyAlignment="1">
      <alignment horizontal="center" vertical="center" wrapText="1"/>
    </xf>
    <xf numFmtId="4" fontId="14" fillId="0" borderId="25" xfId="2" applyNumberFormat="1" applyFont="1" applyBorder="1" applyAlignment="1">
      <alignment horizontal="right" vertical="center"/>
    </xf>
    <xf numFmtId="0" fontId="12" fillId="6" borderId="14" xfId="4" applyFont="1" applyFill="1" applyBorder="1" applyAlignment="1">
      <alignment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12" xfId="4" applyFont="1" applyFill="1" applyBorder="1" applyAlignment="1">
      <alignment vertical="center" wrapText="1"/>
    </xf>
    <xf numFmtId="0" fontId="8" fillId="3" borderId="2" xfId="4" applyFont="1" applyFill="1" applyBorder="1" applyAlignment="1">
      <alignment vertical="center" wrapText="1"/>
    </xf>
    <xf numFmtId="4" fontId="11" fillId="3" borderId="3" xfId="2" applyNumberFormat="1" applyFont="1" applyFill="1" applyBorder="1" applyAlignment="1">
      <alignment horizontal="right" vertical="center"/>
    </xf>
    <xf numFmtId="3" fontId="5" fillId="0" borderId="14" xfId="3" applyNumberFormat="1" applyFont="1" applyBorder="1" applyAlignment="1">
      <alignment vertical="center"/>
    </xf>
    <xf numFmtId="0" fontId="8" fillId="6" borderId="25" xfId="4" applyFont="1" applyFill="1" applyBorder="1" applyAlignment="1">
      <alignment vertical="center" wrapText="1"/>
    </xf>
    <xf numFmtId="0" fontId="12" fillId="4" borderId="7" xfId="4" applyFont="1" applyFill="1" applyBorder="1" applyAlignment="1">
      <alignment horizontal="center" vertical="center" wrapText="1"/>
    </xf>
    <xf numFmtId="3" fontId="7" fillId="0" borderId="14" xfId="3" applyNumberFormat="1" applyFont="1" applyFill="1" applyBorder="1" applyAlignment="1">
      <alignment horizontal="right" vertical="center"/>
    </xf>
    <xf numFmtId="3" fontId="11" fillId="4" borderId="4" xfId="2" applyNumberFormat="1" applyFont="1" applyFill="1" applyBorder="1" applyAlignment="1">
      <alignment horizontal="right" vertical="center"/>
    </xf>
    <xf numFmtId="0" fontId="5" fillId="6" borderId="14" xfId="4" applyFont="1" applyFill="1" applyBorder="1" applyAlignment="1">
      <alignment horizontal="center" vertical="center" wrapText="1"/>
    </xf>
    <xf numFmtId="3" fontId="11" fillId="3" borderId="12" xfId="2" applyNumberFormat="1" applyFont="1" applyFill="1" applyBorder="1" applyAlignment="1">
      <alignment horizontal="right" vertical="center"/>
    </xf>
    <xf numFmtId="0" fontId="8" fillId="6" borderId="14" xfId="4" applyFont="1" applyFill="1" applyBorder="1" applyAlignment="1">
      <alignment vertical="center" wrapText="1"/>
    </xf>
    <xf numFmtId="0" fontId="8" fillId="3" borderId="2" xfId="2" applyFont="1" applyFill="1" applyBorder="1" applyAlignment="1">
      <alignment horizontal="center"/>
    </xf>
    <xf numFmtId="0" fontId="8" fillId="0" borderId="14" xfId="4" applyFont="1" applyBorder="1" applyAlignment="1">
      <alignment vertical="center" wrapText="1"/>
    </xf>
    <xf numFmtId="0" fontId="8" fillId="4" borderId="7" xfId="4" applyFont="1" applyFill="1" applyBorder="1" applyAlignment="1">
      <alignment vertical="center" wrapText="1"/>
    </xf>
    <xf numFmtId="3" fontId="11" fillId="4" borderId="25" xfId="2" applyNumberFormat="1" applyFont="1" applyFill="1" applyBorder="1" applyAlignment="1">
      <alignment horizontal="right" vertical="center"/>
    </xf>
    <xf numFmtId="0" fontId="8" fillId="4" borderId="8" xfId="4" applyFont="1" applyFill="1" applyBorder="1" applyAlignment="1">
      <alignment horizontal="center" vertical="center" wrapText="1"/>
    </xf>
    <xf numFmtId="0" fontId="12" fillId="6" borderId="14" xfId="4" applyFont="1" applyFill="1" applyBorder="1" applyAlignment="1">
      <alignment horizontal="center" vertical="center" wrapText="1"/>
    </xf>
    <xf numFmtId="3" fontId="11" fillId="3" borderId="2" xfId="3" applyNumberFormat="1" applyFont="1" applyFill="1" applyBorder="1" applyAlignment="1">
      <alignment horizontal="right" vertical="center"/>
    </xf>
    <xf numFmtId="4" fontId="11" fillId="3" borderId="2" xfId="3" applyNumberFormat="1" applyFont="1" applyFill="1" applyBorder="1" applyAlignment="1">
      <alignment horizontal="right" vertical="center"/>
    </xf>
    <xf numFmtId="3" fontId="11" fillId="4" borderId="2" xfId="3" applyNumberFormat="1" applyFont="1" applyFill="1" applyBorder="1" applyAlignment="1">
      <alignment horizontal="right" vertical="center"/>
    </xf>
    <xf numFmtId="0" fontId="13" fillId="6" borderId="14" xfId="4" applyFont="1" applyFill="1" applyBorder="1" applyAlignment="1">
      <alignment horizontal="left" vertical="center" wrapText="1"/>
    </xf>
    <xf numFmtId="0" fontId="5" fillId="6" borderId="25" xfId="4" quotePrefix="1" applyFont="1" applyFill="1" applyBorder="1" applyAlignment="1">
      <alignment horizontal="left" vertical="center" wrapText="1"/>
    </xf>
    <xf numFmtId="0" fontId="12" fillId="3" borderId="2" xfId="4" applyFont="1" applyFill="1" applyBorder="1" applyAlignment="1">
      <alignment horizontal="left" vertical="center" wrapText="1"/>
    </xf>
    <xf numFmtId="0" fontId="8" fillId="3" borderId="2" xfId="4" applyFont="1" applyFill="1" applyBorder="1" applyAlignment="1">
      <alignment horizontal="left" vertical="center" wrapText="1"/>
    </xf>
    <xf numFmtId="3" fontId="14" fillId="6" borderId="18" xfId="2" applyNumberFormat="1" applyFont="1" applyFill="1" applyBorder="1" applyAlignment="1">
      <alignment horizontal="right" vertical="center"/>
    </xf>
    <xf numFmtId="3" fontId="14" fillId="0" borderId="18" xfId="2" applyNumberFormat="1" applyFont="1" applyBorder="1" applyAlignment="1">
      <alignment horizontal="right" vertical="center"/>
    </xf>
    <xf numFmtId="4" fontId="7" fillId="5" borderId="27" xfId="2" applyNumberFormat="1" applyFont="1" applyFill="1" applyBorder="1" applyAlignment="1">
      <alignment horizontal="right" vertical="center"/>
    </xf>
    <xf numFmtId="4" fontId="11" fillId="4" borderId="14" xfId="2" applyNumberFormat="1" applyFont="1" applyFill="1" applyBorder="1" applyAlignment="1">
      <alignment horizontal="right" vertical="center"/>
    </xf>
    <xf numFmtId="0" fontId="78" fillId="0" borderId="14" xfId="4" applyFont="1" applyBorder="1" applyAlignment="1">
      <alignment vertical="center" wrapText="1"/>
    </xf>
    <xf numFmtId="0" fontId="5" fillId="6" borderId="30" xfId="4" applyFont="1" applyFill="1" applyBorder="1" applyAlignment="1">
      <alignment horizontal="left" vertical="center" wrapText="1"/>
    </xf>
    <xf numFmtId="0" fontId="13" fillId="6" borderId="14" xfId="4" applyFont="1" applyFill="1" applyBorder="1" applyAlignment="1">
      <alignment vertical="center" wrapText="1"/>
    </xf>
    <xf numFmtId="49" fontId="13" fillId="5" borderId="7" xfId="4" applyNumberFormat="1" applyFont="1" applyFill="1" applyBorder="1" applyAlignment="1">
      <alignment horizontal="center" vertical="center" wrapText="1"/>
    </xf>
    <xf numFmtId="49" fontId="5" fillId="6" borderId="14" xfId="4" applyNumberFormat="1" applyFont="1" applyFill="1" applyBorder="1" applyAlignment="1">
      <alignment horizontal="center" vertical="center" wrapText="1"/>
    </xf>
    <xf numFmtId="0" fontId="5" fillId="0" borderId="10" xfId="4" applyFont="1" applyBorder="1" applyAlignment="1">
      <alignment horizontal="left" vertical="center" wrapText="1"/>
    </xf>
    <xf numFmtId="49" fontId="5" fillId="0" borderId="7" xfId="4" applyNumberFormat="1" applyFont="1" applyBorder="1" applyAlignment="1">
      <alignment horizontal="center" vertical="center" wrapText="1"/>
    </xf>
    <xf numFmtId="0" fontId="84" fillId="0" borderId="0" xfId="2" applyFont="1"/>
    <xf numFmtId="0" fontId="5" fillId="0" borderId="7" xfId="2" applyFont="1" applyBorder="1" applyAlignment="1">
      <alignment vertical="center" wrapText="1"/>
    </xf>
    <xf numFmtId="3" fontId="4" fillId="0" borderId="0" xfId="2" applyNumberFormat="1" applyFont="1"/>
    <xf numFmtId="0" fontId="13" fillId="6" borderId="30" xfId="2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 wrapText="1"/>
    </xf>
    <xf numFmtId="0" fontId="12" fillId="4" borderId="8" xfId="2" applyFont="1" applyFill="1" applyBorder="1" applyAlignment="1">
      <alignment vertical="center" wrapText="1"/>
    </xf>
    <xf numFmtId="0" fontId="13" fillId="0" borderId="14" xfId="2" applyFont="1" applyBorder="1" applyAlignment="1">
      <alignment horizontal="left" vertical="center" wrapText="1"/>
    </xf>
    <xf numFmtId="0" fontId="5" fillId="0" borderId="16" xfId="4" applyFont="1" applyBorder="1" applyAlignment="1">
      <alignment horizontal="center" vertical="center" wrapText="1"/>
    </xf>
    <xf numFmtId="4" fontId="11" fillId="4" borderId="12" xfId="3" applyNumberFormat="1" applyFont="1" applyFill="1" applyBorder="1" applyAlignment="1">
      <alignment horizontal="right" vertical="center"/>
    </xf>
    <xf numFmtId="3" fontId="14" fillId="5" borderId="16" xfId="3" applyNumberFormat="1" applyFont="1" applyFill="1" applyBorder="1" applyAlignment="1">
      <alignment horizontal="right" vertical="center"/>
    </xf>
    <xf numFmtId="4" fontId="14" fillId="5" borderId="17" xfId="3" applyNumberFormat="1" applyFont="1" applyFill="1" applyBorder="1" applyAlignment="1">
      <alignment horizontal="right" vertical="center"/>
    </xf>
    <xf numFmtId="3" fontId="14" fillId="5" borderId="9" xfId="3" applyNumberFormat="1" applyFont="1" applyFill="1" applyBorder="1" applyAlignment="1">
      <alignment horizontal="right" vertical="center"/>
    </xf>
    <xf numFmtId="0" fontId="92" fillId="3" borderId="12" xfId="4" applyFont="1" applyFill="1" applyBorder="1" applyAlignment="1">
      <alignment vertical="center" wrapText="1"/>
    </xf>
    <xf numFmtId="0" fontId="77" fillId="6" borderId="3" xfId="4" applyFont="1" applyFill="1" applyBorder="1" applyAlignment="1">
      <alignment vertical="center" wrapText="1"/>
    </xf>
    <xf numFmtId="0" fontId="75" fillId="4" borderId="11" xfId="4" applyFont="1" applyFill="1" applyBorder="1" applyAlignment="1">
      <alignment horizontal="center" vertical="center" wrapText="1"/>
    </xf>
    <xf numFmtId="0" fontId="75" fillId="4" borderId="12" xfId="4" applyFont="1" applyFill="1" applyBorder="1" applyAlignment="1">
      <alignment vertical="center" wrapText="1"/>
    </xf>
    <xf numFmtId="0" fontId="77" fillId="6" borderId="14" xfId="4" applyFont="1" applyFill="1" applyBorder="1" applyAlignment="1">
      <alignment vertical="center" wrapText="1"/>
    </xf>
    <xf numFmtId="0" fontId="5" fillId="6" borderId="147" xfId="4" applyFont="1" applyFill="1" applyBorder="1" applyAlignment="1">
      <alignment horizontal="center" vertical="center" wrapText="1"/>
    </xf>
    <xf numFmtId="0" fontId="5" fillId="6" borderId="25" xfId="4" applyFont="1" applyFill="1" applyBorder="1" applyAlignment="1">
      <alignment horizontal="left" vertical="center" wrapText="1"/>
    </xf>
    <xf numFmtId="0" fontId="13" fillId="6" borderId="7" xfId="4" applyFont="1" applyFill="1" applyBorder="1" applyAlignment="1">
      <alignment horizontal="left" vertical="center" wrapText="1"/>
    </xf>
    <xf numFmtId="3" fontId="7" fillId="0" borderId="14" xfId="2" applyNumberFormat="1" applyFont="1" applyBorder="1" applyAlignment="1">
      <alignment horizontal="right" vertical="center"/>
    </xf>
    <xf numFmtId="4" fontId="7" fillId="0" borderId="25" xfId="2" applyNumberFormat="1" applyFont="1" applyBorder="1" applyAlignment="1">
      <alignment horizontal="right" vertical="center"/>
    </xf>
    <xf numFmtId="4" fontId="7" fillId="5" borderId="14" xfId="2" applyNumberFormat="1" applyFont="1" applyFill="1" applyBorder="1" applyAlignment="1">
      <alignment horizontal="right" vertical="center"/>
    </xf>
    <xf numFmtId="4" fontId="44" fillId="6" borderId="7" xfId="4" applyNumberFormat="1" applyFont="1" applyFill="1" applyBorder="1" applyAlignment="1">
      <alignment vertical="center"/>
    </xf>
    <xf numFmtId="4" fontId="44" fillId="6" borderId="14" xfId="4" applyNumberFormat="1" applyFont="1" applyFill="1" applyBorder="1" applyAlignment="1">
      <alignment horizontal="right" vertical="center"/>
    </xf>
    <xf numFmtId="0" fontId="44" fillId="0" borderId="14" xfId="10" applyFont="1" applyBorder="1" applyAlignment="1">
      <alignment vertical="center" wrapText="1"/>
    </xf>
    <xf numFmtId="0" fontId="9" fillId="11" borderId="75" xfId="4" applyFont="1" applyFill="1" applyBorder="1" applyAlignment="1">
      <alignment horizontal="center" vertical="center" wrapText="1"/>
    </xf>
    <xf numFmtId="0" fontId="9" fillId="11" borderId="74" xfId="4" applyFont="1" applyFill="1" applyBorder="1" applyAlignment="1">
      <alignment horizontal="center" vertical="center"/>
    </xf>
    <xf numFmtId="4" fontId="9" fillId="10" borderId="75" xfId="4" applyNumberFormat="1" applyFont="1" applyFill="1" applyBorder="1" applyAlignment="1">
      <alignment horizontal="right" vertical="center" wrapText="1"/>
    </xf>
    <xf numFmtId="3" fontId="14" fillId="0" borderId="0" xfId="4" applyNumberFormat="1"/>
    <xf numFmtId="49" fontId="51" fillId="5" borderId="75" xfId="4" applyNumberFormat="1" applyFont="1" applyFill="1" applyBorder="1" applyAlignment="1">
      <alignment horizontal="center" vertical="center"/>
    </xf>
    <xf numFmtId="4" fontId="67" fillId="5" borderId="75" xfId="4" applyNumberFormat="1" applyFont="1" applyFill="1" applyBorder="1" applyAlignment="1">
      <alignment horizontal="right" vertical="center"/>
    </xf>
    <xf numFmtId="49" fontId="31" fillId="6" borderId="16" xfId="4" applyNumberFormat="1" applyFont="1" applyFill="1" applyBorder="1" applyAlignment="1">
      <alignment horizontal="center" vertical="center" wrapText="1"/>
    </xf>
    <xf numFmtId="0" fontId="31" fillId="0" borderId="14" xfId="4" applyFont="1" applyBorder="1" applyAlignment="1">
      <alignment horizontal="left" vertical="center" wrapText="1"/>
    </xf>
    <xf numFmtId="3" fontId="14" fillId="0" borderId="118" xfId="3" applyNumberFormat="1" applyFont="1" applyFill="1" applyBorder="1" applyAlignment="1">
      <alignment horizontal="right" vertical="center"/>
    </xf>
    <xf numFmtId="3" fontId="5" fillId="0" borderId="118" xfId="2" applyNumberFormat="1" applyFont="1" applyBorder="1" applyAlignment="1">
      <alignment horizontal="right" vertical="center"/>
    </xf>
    <xf numFmtId="4" fontId="5" fillId="0" borderId="144" xfId="2" applyNumberFormat="1" applyFont="1" applyBorder="1" applyAlignment="1">
      <alignment horizontal="right" vertical="center"/>
    </xf>
    <xf numFmtId="10" fontId="14" fillId="0" borderId="118" xfId="1" applyNumberFormat="1" applyFont="1" applyFill="1" applyBorder="1" applyAlignment="1">
      <alignment horizontal="right" vertical="center"/>
    </xf>
    <xf numFmtId="0" fontId="5" fillId="6" borderId="118" xfId="2" quotePrefix="1" applyFont="1" applyFill="1" applyBorder="1" applyAlignment="1">
      <alignment horizontal="center" vertical="center" wrapText="1"/>
    </xf>
    <xf numFmtId="0" fontId="35" fillId="0" borderId="14" xfId="4" applyFont="1" applyBorder="1" applyAlignment="1">
      <alignment vertical="center" wrapText="1"/>
    </xf>
    <xf numFmtId="4" fontId="35" fillId="4" borderId="12" xfId="2" applyNumberFormat="1" applyFont="1" applyFill="1" applyBorder="1" applyAlignment="1">
      <alignment horizontal="right" vertical="center"/>
    </xf>
    <xf numFmtId="0" fontId="32" fillId="5" borderId="3" xfId="4" applyFont="1" applyFill="1" applyBorder="1" applyAlignment="1">
      <alignment horizontal="left" vertical="center" wrapText="1"/>
    </xf>
    <xf numFmtId="4" fontId="31" fillId="5" borderId="17" xfId="2" applyNumberFormat="1" applyFont="1" applyFill="1" applyBorder="1" applyAlignment="1">
      <alignment horizontal="right" vertical="center"/>
    </xf>
    <xf numFmtId="0" fontId="31" fillId="0" borderId="22" xfId="4" applyFont="1" applyBorder="1" applyAlignment="1">
      <alignment vertical="center" wrapText="1"/>
    </xf>
    <xf numFmtId="4" fontId="35" fillId="4" borderId="8" xfId="2" applyNumberFormat="1" applyFont="1" applyFill="1" applyBorder="1" applyAlignment="1">
      <alignment horizontal="right" vertical="center"/>
    </xf>
    <xf numFmtId="0" fontId="32" fillId="0" borderId="14" xfId="4" applyFont="1" applyBorder="1" applyAlignment="1">
      <alignment horizontal="center" vertical="center" wrapText="1"/>
    </xf>
    <xf numFmtId="3" fontId="31" fillId="0" borderId="95" xfId="2" applyNumberFormat="1" applyFont="1" applyBorder="1" applyAlignment="1">
      <alignment horizontal="right" vertical="center"/>
    </xf>
    <xf numFmtId="10" fontId="34" fillId="0" borderId="95" xfId="1" applyNumberFormat="1" applyFont="1" applyFill="1" applyBorder="1" applyAlignment="1">
      <alignment horizontal="right" vertical="center"/>
    </xf>
    <xf numFmtId="0" fontId="32" fillId="5" borderId="95" xfId="4" applyFont="1" applyFill="1" applyBorder="1" applyAlignment="1">
      <alignment horizontal="left" vertical="center" wrapText="1"/>
    </xf>
    <xf numFmtId="4" fontId="33" fillId="5" borderId="25" xfId="2" applyNumberFormat="1" applyFont="1" applyFill="1" applyBorder="1" applyAlignment="1">
      <alignment horizontal="right" vertical="center"/>
    </xf>
    <xf numFmtId="0" fontId="31" fillId="0" borderId="14" xfId="4" applyFont="1" applyBorder="1" applyAlignment="1">
      <alignment horizontal="center" vertical="center" wrapText="1"/>
    </xf>
    <xf numFmtId="0" fontId="32" fillId="6" borderId="14" xfId="4" applyFont="1" applyFill="1" applyBorder="1" applyAlignment="1">
      <alignment vertical="center" wrapText="1"/>
    </xf>
    <xf numFmtId="0" fontId="32" fillId="6" borderId="7" xfId="4" applyFont="1" applyFill="1" applyBorder="1" applyAlignment="1">
      <alignment vertical="center" wrapText="1"/>
    </xf>
    <xf numFmtId="49" fontId="31" fillId="6" borderId="7" xfId="4" applyNumberFormat="1" applyFont="1" applyFill="1" applyBorder="1" applyAlignment="1">
      <alignment horizontal="center" vertical="center" wrapText="1"/>
    </xf>
    <xf numFmtId="10" fontId="33" fillId="5" borderId="14" xfId="1" applyNumberFormat="1" applyFont="1" applyFill="1" applyBorder="1" applyAlignment="1">
      <alignment horizontal="right" vertical="center"/>
    </xf>
    <xf numFmtId="0" fontId="1" fillId="0" borderId="25" xfId="0" applyFont="1" applyBorder="1" applyAlignment="1">
      <alignment vertical="center" wrapText="1"/>
    </xf>
    <xf numFmtId="4" fontId="33" fillId="5" borderId="4" xfId="3" applyNumberFormat="1" applyFont="1" applyFill="1" applyBorder="1" applyAlignment="1">
      <alignment horizontal="right" vertical="center"/>
    </xf>
    <xf numFmtId="0" fontId="31" fillId="0" borderId="23" xfId="4" applyFont="1" applyBorder="1" applyAlignment="1">
      <alignment horizontal="left" vertical="center" wrapText="1"/>
    </xf>
    <xf numFmtId="0" fontId="31" fillId="6" borderId="94" xfId="4" applyFont="1" applyFill="1" applyBorder="1" applyAlignment="1">
      <alignment horizontal="left" vertical="center" wrapText="1"/>
    </xf>
    <xf numFmtId="0" fontId="32" fillId="6" borderId="16" xfId="4" applyFont="1" applyFill="1" applyBorder="1" applyAlignment="1">
      <alignment horizontal="center" vertical="center" wrapText="1"/>
    </xf>
    <xf numFmtId="0" fontId="31" fillId="6" borderId="21" xfId="4" applyFont="1" applyFill="1" applyBorder="1" applyAlignment="1">
      <alignment vertical="center" wrapText="1"/>
    </xf>
    <xf numFmtId="0" fontId="31" fillId="6" borderId="0" xfId="4" applyFont="1" applyFill="1" applyAlignment="1">
      <alignment vertical="center" wrapText="1"/>
    </xf>
    <xf numFmtId="10" fontId="34" fillId="0" borderId="97" xfId="1" applyNumberFormat="1" applyFont="1" applyFill="1" applyBorder="1" applyAlignment="1">
      <alignment horizontal="right" vertical="center"/>
    </xf>
    <xf numFmtId="10" fontId="36" fillId="5" borderId="16" xfId="1" applyNumberFormat="1" applyFont="1" applyFill="1" applyBorder="1" applyAlignment="1">
      <alignment horizontal="right" vertical="center"/>
    </xf>
    <xf numFmtId="0" fontId="31" fillId="6" borderId="99" xfId="4" applyFont="1" applyFill="1" applyBorder="1" applyAlignment="1">
      <alignment vertical="center" wrapText="1"/>
    </xf>
    <xf numFmtId="49" fontId="31" fillId="0" borderId="97" xfId="4" applyNumberFormat="1" applyFont="1" applyBorder="1" applyAlignment="1">
      <alignment horizontal="center" vertical="center" wrapText="1"/>
    </xf>
    <xf numFmtId="10" fontId="36" fillId="5" borderId="95" xfId="1" applyNumberFormat="1" applyFont="1" applyFill="1" applyBorder="1" applyAlignment="1">
      <alignment horizontal="right" vertical="center"/>
    </xf>
    <xf numFmtId="0" fontId="31" fillId="6" borderId="1" xfId="4" applyFont="1" applyFill="1" applyBorder="1" applyAlignment="1">
      <alignment horizontal="left" vertical="center" wrapText="1"/>
    </xf>
    <xf numFmtId="0" fontId="32" fillId="0" borderId="101" xfId="4" applyFont="1" applyBorder="1" applyAlignment="1">
      <alignment horizontal="left" vertical="center" wrapText="1"/>
    </xf>
    <xf numFmtId="0" fontId="31" fillId="0" borderId="7" xfId="4" applyFont="1" applyBorder="1" applyAlignment="1">
      <alignment horizontal="center" vertical="center" wrapText="1"/>
    </xf>
    <xf numFmtId="3" fontId="33" fillId="0" borderId="25" xfId="2" applyNumberFormat="1" applyFont="1" applyBorder="1" applyAlignment="1">
      <alignment horizontal="right" vertical="center"/>
    </xf>
    <xf numFmtId="4" fontId="32" fillId="0" borderId="25" xfId="2" applyNumberFormat="1" applyFont="1" applyBorder="1" applyAlignment="1">
      <alignment horizontal="right" vertical="center"/>
    </xf>
    <xf numFmtId="0" fontId="32" fillId="0" borderId="14" xfId="4" applyFont="1" applyBorder="1" applyAlignment="1">
      <alignment horizontal="left" vertical="center" wrapText="1"/>
    </xf>
    <xf numFmtId="49" fontId="31" fillId="0" borderId="16" xfId="4" applyNumberFormat="1" applyFont="1" applyBorder="1" applyAlignment="1">
      <alignment horizontal="center" vertical="center" wrapText="1"/>
    </xf>
    <xf numFmtId="4" fontId="33" fillId="5" borderId="17" xfId="2" applyNumberFormat="1" applyFont="1" applyFill="1" applyBorder="1" applyAlignment="1">
      <alignment horizontal="right" vertical="center"/>
    </xf>
    <xf numFmtId="0" fontId="95" fillId="0" borderId="14" xfId="2" applyFont="1" applyBorder="1" applyAlignment="1">
      <alignment vertical="center" wrapText="1"/>
    </xf>
    <xf numFmtId="0" fontId="85" fillId="4" borderId="7" xfId="2" applyFont="1" applyFill="1" applyBorder="1" applyAlignment="1">
      <alignment horizontal="center" vertical="center" wrapText="1"/>
    </xf>
    <xf numFmtId="0" fontId="32" fillId="0" borderId="14" xfId="2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9" fontId="31" fillId="6" borderId="14" xfId="2" quotePrefix="1" applyNumberFormat="1" applyFont="1" applyFill="1" applyBorder="1" applyAlignment="1">
      <alignment horizontal="center" vertical="center" wrapText="1"/>
    </xf>
    <xf numFmtId="4" fontId="31" fillId="0" borderId="25" xfId="2" applyNumberFormat="1" applyFont="1" applyBorder="1" applyAlignment="1">
      <alignment horizontal="right" vertical="center"/>
    </xf>
    <xf numFmtId="0" fontId="85" fillId="4" borderId="8" xfId="2" applyFont="1" applyFill="1" applyBorder="1" applyAlignment="1">
      <alignment vertical="center" wrapText="1"/>
    </xf>
    <xf numFmtId="0" fontId="85" fillId="4" borderId="7" xfId="2" applyFont="1" applyFill="1" applyBorder="1" applyAlignment="1">
      <alignment vertical="center" wrapText="1"/>
    </xf>
    <xf numFmtId="4" fontId="34" fillId="4" borderId="7" xfId="2" applyNumberFormat="1" applyFont="1" applyFill="1" applyBorder="1" applyAlignment="1">
      <alignment horizontal="right" vertical="center"/>
    </xf>
    <xf numFmtId="10" fontId="34" fillId="4" borderId="10" xfId="1" applyNumberFormat="1" applyFont="1" applyFill="1" applyBorder="1" applyAlignment="1">
      <alignment horizontal="right" vertical="center"/>
    </xf>
    <xf numFmtId="0" fontId="31" fillId="6" borderId="14" xfId="2" applyFont="1" applyFill="1" applyBorder="1" applyAlignment="1">
      <alignment horizontal="center" vertical="center" wrapText="1"/>
    </xf>
    <xf numFmtId="0" fontId="31" fillId="0" borderId="14" xfId="2" applyFont="1" applyBorder="1" applyAlignment="1">
      <alignment vertical="center" wrapText="1"/>
    </xf>
    <xf numFmtId="0" fontId="32" fillId="0" borderId="14" xfId="2" applyFont="1" applyBorder="1" applyAlignment="1">
      <alignment horizontal="left" vertical="center" wrapText="1"/>
    </xf>
    <xf numFmtId="0" fontId="91" fillId="6" borderId="14" xfId="2" applyFont="1" applyFill="1" applyBorder="1" applyAlignment="1">
      <alignment vertical="center" wrapText="1"/>
    </xf>
    <xf numFmtId="0" fontId="5" fillId="0" borderId="94" xfId="4" applyFont="1" applyBorder="1" applyAlignment="1">
      <alignment vertical="center" wrapText="1"/>
    </xf>
    <xf numFmtId="49" fontId="52" fillId="0" borderId="7" xfId="4" applyNumberFormat="1" applyFont="1" applyBorder="1" applyAlignment="1">
      <alignment horizontal="center" vertical="center"/>
    </xf>
    <xf numFmtId="49" fontId="52" fillId="0" borderId="7" xfId="4" applyNumberFormat="1" applyFont="1" applyBorder="1" applyAlignment="1">
      <alignment horizontal="center" vertical="center" wrapText="1"/>
    </xf>
    <xf numFmtId="1" fontId="51" fillId="5" borderId="75" xfId="4" applyNumberFormat="1" applyFont="1" applyFill="1" applyBorder="1" applyAlignment="1">
      <alignment horizontal="center" vertical="center"/>
    </xf>
    <xf numFmtId="3" fontId="67" fillId="5" borderId="74" xfId="4" applyNumberFormat="1" applyFont="1" applyFill="1" applyBorder="1" applyAlignment="1">
      <alignment horizontal="right" vertical="center"/>
    </xf>
    <xf numFmtId="49" fontId="9" fillId="0" borderId="14" xfId="4" applyNumberFormat="1" applyFont="1" applyBorder="1" applyAlignment="1">
      <alignment vertical="center"/>
    </xf>
    <xf numFmtId="49" fontId="49" fillId="6" borderId="14" xfId="4" applyNumberFormat="1" applyFont="1" applyFill="1" applyBorder="1" applyAlignment="1">
      <alignment horizontal="center" vertical="center"/>
    </xf>
    <xf numFmtId="1" fontId="44" fillId="6" borderId="14" xfId="4" applyNumberFormat="1" applyFont="1" applyFill="1" applyBorder="1" applyAlignment="1">
      <alignment horizontal="center" vertical="center"/>
    </xf>
    <xf numFmtId="4" fontId="44" fillId="6" borderId="14" xfId="4" applyNumberFormat="1" applyFont="1" applyFill="1" applyBorder="1" applyAlignment="1">
      <alignment vertical="center"/>
    </xf>
    <xf numFmtId="0" fontId="44" fillId="6" borderId="30" xfId="4" applyFont="1" applyFill="1" applyBorder="1" applyAlignment="1">
      <alignment horizontal="left" vertical="center" wrapText="1"/>
    </xf>
    <xf numFmtId="3" fontId="94" fillId="0" borderId="4" xfId="4" applyNumberFormat="1" applyFont="1" applyBorder="1" applyAlignment="1">
      <alignment horizontal="right" vertical="center"/>
    </xf>
    <xf numFmtId="49" fontId="9" fillId="0" borderId="14" xfId="4" applyNumberFormat="1" applyFont="1" applyBorder="1" applyAlignment="1">
      <alignment horizontal="center" vertical="center"/>
    </xf>
    <xf numFmtId="49" fontId="44" fillId="0" borderId="14" xfId="4" applyNumberFormat="1" applyFont="1" applyBorder="1" applyAlignment="1">
      <alignment horizontal="center" vertical="center"/>
    </xf>
    <xf numFmtId="1" fontId="44" fillId="0" borderId="7" xfId="4" applyNumberFormat="1" applyFont="1" applyBorder="1" applyAlignment="1">
      <alignment horizontal="center" vertical="center"/>
    </xf>
    <xf numFmtId="3" fontId="94" fillId="0" borderId="1" xfId="4" applyNumberFormat="1" applyFont="1" applyBorder="1" applyAlignment="1">
      <alignment horizontal="right" vertical="center"/>
    </xf>
    <xf numFmtId="49" fontId="9" fillId="0" borderId="7" xfId="4" applyNumberFormat="1" applyFont="1" applyBorder="1" applyAlignment="1">
      <alignment vertical="center"/>
    </xf>
    <xf numFmtId="49" fontId="49" fillId="6" borderId="7" xfId="4" applyNumberFormat="1" applyFont="1" applyFill="1" applyBorder="1" applyAlignment="1">
      <alignment horizontal="center" vertical="center"/>
    </xf>
    <xf numFmtId="49" fontId="44" fillId="6" borderId="7" xfId="4" applyNumberFormat="1" applyFont="1" applyFill="1" applyBorder="1" applyAlignment="1">
      <alignment horizontal="center" vertical="center" wrapText="1"/>
    </xf>
    <xf numFmtId="1" fontId="44" fillId="6" borderId="7" xfId="4" applyNumberFormat="1" applyFont="1" applyFill="1" applyBorder="1" applyAlignment="1">
      <alignment horizontal="center" vertical="center"/>
    </xf>
    <xf numFmtId="3" fontId="94" fillId="6" borderId="1" xfId="4" applyNumberFormat="1" applyFont="1" applyFill="1" applyBorder="1" applyAlignment="1">
      <alignment horizontal="right" vertical="center"/>
    </xf>
    <xf numFmtId="4" fontId="44" fillId="6" borderId="1" xfId="4" applyNumberFormat="1" applyFont="1" applyFill="1" applyBorder="1" applyAlignment="1">
      <alignment vertical="center"/>
    </xf>
    <xf numFmtId="0" fontId="44" fillId="6" borderId="10" xfId="4" applyFont="1" applyFill="1" applyBorder="1" applyAlignment="1">
      <alignment horizontal="left" vertical="center" wrapText="1"/>
    </xf>
    <xf numFmtId="4" fontId="7" fillId="0" borderId="14" xfId="4" applyNumberFormat="1" applyFont="1" applyBorder="1" applyAlignment="1">
      <alignment vertical="center"/>
    </xf>
    <xf numFmtId="0" fontId="44" fillId="0" borderId="10" xfId="4" applyFont="1" applyBorder="1" applyAlignment="1">
      <alignment horizontal="left" vertical="center" wrapText="1"/>
    </xf>
    <xf numFmtId="4" fontId="44" fillId="6" borderId="109" xfId="4" applyNumberFormat="1" applyFont="1" applyFill="1" applyBorder="1" applyAlignment="1">
      <alignment vertical="center"/>
    </xf>
    <xf numFmtId="49" fontId="52" fillId="0" borderId="14" xfId="4" applyNumberFormat="1" applyFont="1" applyBorder="1" applyAlignment="1">
      <alignment horizontal="center" vertical="center"/>
    </xf>
    <xf numFmtId="0" fontId="44" fillId="0" borderId="152" xfId="4" applyFont="1" applyBorder="1" applyAlignment="1">
      <alignment horizontal="left" vertical="center" wrapText="1"/>
    </xf>
    <xf numFmtId="49" fontId="52" fillId="0" borderId="14" xfId="4" applyNumberFormat="1" applyFont="1" applyBorder="1" applyAlignment="1">
      <alignment vertical="center" wrapText="1"/>
    </xf>
    <xf numFmtId="4" fontId="44" fillId="0" borderId="109" xfId="4" applyNumberFormat="1" applyFont="1" applyBorder="1" applyAlignment="1">
      <alignment horizontal="right" vertical="center" wrapText="1"/>
    </xf>
    <xf numFmtId="0" fontId="44" fillId="6" borderId="109" xfId="4" applyFont="1" applyFill="1" applyBorder="1" applyAlignment="1">
      <alignment horizontal="left" vertical="center" wrapText="1"/>
    </xf>
    <xf numFmtId="3" fontId="44" fillId="0" borderId="156" xfId="4" applyNumberFormat="1" applyFont="1" applyBorder="1" applyAlignment="1">
      <alignment horizontal="right" vertical="center" wrapText="1"/>
    </xf>
    <xf numFmtId="3" fontId="51" fillId="5" borderId="74" xfId="4" applyNumberFormat="1" applyFont="1" applyFill="1" applyBorder="1" applyAlignment="1">
      <alignment horizontal="right" vertical="center" wrapText="1"/>
    </xf>
    <xf numFmtId="4" fontId="51" fillId="5" borderId="75" xfId="4" applyNumberFormat="1" applyFont="1" applyFill="1" applyBorder="1" applyAlignment="1">
      <alignment horizontal="right" vertical="center" wrapText="1"/>
    </xf>
    <xf numFmtId="0" fontId="44" fillId="5" borderId="10" xfId="4" applyFont="1" applyFill="1" applyBorder="1" applyAlignment="1">
      <alignment horizontal="left" vertical="center" wrapText="1"/>
    </xf>
    <xf numFmtId="49" fontId="49" fillId="6" borderId="14" xfId="4" applyNumberFormat="1" applyFont="1" applyFill="1" applyBorder="1" applyAlignment="1">
      <alignment vertical="center"/>
    </xf>
    <xf numFmtId="49" fontId="44" fillId="6" borderId="14" xfId="4" applyNumberFormat="1" applyFont="1" applyFill="1" applyBorder="1" applyAlignment="1">
      <alignment vertical="center" wrapText="1"/>
    </xf>
    <xf numFmtId="49" fontId="49" fillId="6" borderId="7" xfId="4" applyNumberFormat="1" applyFont="1" applyFill="1" applyBorder="1" applyAlignment="1">
      <alignment vertical="center"/>
    </xf>
    <xf numFmtId="49" fontId="44" fillId="6" borderId="7" xfId="4" applyNumberFormat="1" applyFont="1" applyFill="1" applyBorder="1" applyAlignment="1">
      <alignment vertical="center" wrapText="1"/>
    </xf>
    <xf numFmtId="0" fontId="44" fillId="6" borderId="14" xfId="4" applyFont="1" applyFill="1" applyBorder="1" applyAlignment="1">
      <alignment horizontal="left" vertical="center" wrapText="1"/>
    </xf>
    <xf numFmtId="1" fontId="9" fillId="5" borderId="7" xfId="4" applyNumberFormat="1" applyFont="1" applyFill="1" applyBorder="1" applyAlignment="1">
      <alignment horizontal="center" vertical="center"/>
    </xf>
    <xf numFmtId="3" fontId="68" fillId="5" borderId="1" xfId="4" applyNumberFormat="1" applyFont="1" applyFill="1" applyBorder="1" applyAlignment="1">
      <alignment horizontal="right" vertical="center"/>
    </xf>
    <xf numFmtId="49" fontId="44" fillId="6" borderId="1" xfId="4" applyNumberFormat="1" applyFont="1" applyFill="1" applyBorder="1" applyAlignment="1">
      <alignment horizontal="center" vertical="center" wrapText="1"/>
    </xf>
    <xf numFmtId="4" fontId="44" fillId="6" borderId="1" xfId="4" applyNumberFormat="1" applyFont="1" applyFill="1" applyBorder="1" applyAlignment="1">
      <alignment horizontal="right" vertical="center"/>
    </xf>
    <xf numFmtId="4" fontId="44" fillId="6" borderId="7" xfId="4" applyNumberFormat="1" applyFont="1" applyFill="1" applyBorder="1" applyAlignment="1">
      <alignment horizontal="right" vertical="center"/>
    </xf>
    <xf numFmtId="0" fontId="51" fillId="5" borderId="75" xfId="4" applyFont="1" applyFill="1" applyBorder="1" applyAlignment="1">
      <alignment horizontal="center" vertical="center"/>
    </xf>
    <xf numFmtId="0" fontId="51" fillId="5" borderId="75" xfId="4" applyFont="1" applyFill="1" applyBorder="1" applyAlignment="1">
      <alignment vertical="center" wrapText="1"/>
    </xf>
    <xf numFmtId="3" fontId="51" fillId="5" borderId="76" xfId="4" applyNumberFormat="1" applyFont="1" applyFill="1" applyBorder="1" applyAlignment="1">
      <alignment horizontal="right" vertical="center" wrapText="1"/>
    </xf>
    <xf numFmtId="4" fontId="51" fillId="5" borderId="74" xfId="4" applyNumberFormat="1" applyFont="1" applyFill="1" applyBorder="1" applyAlignment="1">
      <alignment horizontal="right" vertical="center" wrapText="1"/>
    </xf>
    <xf numFmtId="0" fontId="51" fillId="5" borderId="82" xfId="4" applyFont="1" applyFill="1" applyBorder="1" applyAlignment="1">
      <alignment horizontal="left" vertical="center"/>
    </xf>
    <xf numFmtId="0" fontId="51" fillId="0" borderId="7" xfId="4" applyFont="1" applyBorder="1" applyAlignment="1">
      <alignment horizontal="center" vertical="center"/>
    </xf>
    <xf numFmtId="0" fontId="51" fillId="0" borderId="7" xfId="4" applyFont="1" applyBorder="1" applyAlignment="1">
      <alignment horizontal="center" vertical="center" wrapText="1"/>
    </xf>
    <xf numFmtId="3" fontId="44" fillId="0" borderId="8" xfId="4" applyNumberFormat="1" applyFont="1" applyBorder="1" applyAlignment="1">
      <alignment horizontal="right" vertical="center" wrapText="1"/>
    </xf>
    <xf numFmtId="4" fontId="44" fillId="0" borderId="7" xfId="4" applyNumberFormat="1" applyFont="1" applyBorder="1" applyAlignment="1">
      <alignment horizontal="right" vertical="center" wrapText="1"/>
    </xf>
    <xf numFmtId="4" fontId="44" fillId="0" borderId="1" xfId="4" applyNumberFormat="1" applyFont="1" applyBorder="1" applyAlignment="1">
      <alignment horizontal="right" vertical="center" wrapText="1"/>
    </xf>
    <xf numFmtId="0" fontId="44" fillId="0" borderId="31" xfId="4" applyFont="1" applyBorder="1" applyAlignment="1">
      <alignment horizontal="left" vertical="center" wrapText="1"/>
    </xf>
    <xf numFmtId="0" fontId="51" fillId="5" borderId="74" xfId="4" applyFont="1" applyFill="1" applyBorder="1" applyAlignment="1">
      <alignment vertical="center" wrapText="1"/>
    </xf>
    <xf numFmtId="1" fontId="67" fillId="5" borderId="75" xfId="4" applyNumberFormat="1" applyFont="1" applyFill="1" applyBorder="1"/>
    <xf numFmtId="4" fontId="67" fillId="5" borderId="74" xfId="4" applyNumberFormat="1" applyFont="1" applyFill="1" applyBorder="1" applyAlignment="1">
      <alignment horizontal="right" vertical="center"/>
    </xf>
    <xf numFmtId="49" fontId="9" fillId="0" borderId="7" xfId="4" applyNumberFormat="1" applyFont="1" applyBorder="1" applyAlignment="1">
      <alignment horizontal="center" vertical="center"/>
    </xf>
    <xf numFmtId="49" fontId="44" fillId="6" borderId="7" xfId="4" applyNumberFormat="1" applyFont="1" applyFill="1" applyBorder="1" applyAlignment="1">
      <alignment horizontal="center" vertical="center"/>
    </xf>
    <xf numFmtId="49" fontId="44" fillId="6" borderId="1" xfId="4" applyNumberFormat="1" applyFont="1" applyFill="1" applyBorder="1" applyAlignment="1">
      <alignment horizontal="left" vertical="center" wrapText="1"/>
    </xf>
    <xf numFmtId="1" fontId="44" fillId="6" borderId="9" xfId="4" applyNumberFormat="1" applyFont="1" applyFill="1" applyBorder="1" applyAlignment="1">
      <alignment horizontal="center" vertical="center"/>
    </xf>
    <xf numFmtId="3" fontId="44" fillId="6" borderId="27" xfId="4" applyNumberFormat="1" applyFont="1" applyFill="1" applyBorder="1" applyAlignment="1">
      <alignment horizontal="right" vertical="center" wrapText="1"/>
    </xf>
    <xf numFmtId="4" fontId="44" fillId="6" borderId="9" xfId="4" applyNumberFormat="1" applyFont="1" applyFill="1" applyBorder="1" applyAlignment="1">
      <alignment horizontal="right" vertical="center" wrapText="1"/>
    </xf>
    <xf numFmtId="4" fontId="44" fillId="6" borderId="45" xfId="4" applyNumberFormat="1" applyFont="1" applyFill="1" applyBorder="1" applyAlignment="1">
      <alignment horizontal="right" vertical="center" wrapText="1"/>
    </xf>
    <xf numFmtId="0" fontId="44" fillId="0" borderId="50" xfId="10" applyFont="1" applyBorder="1" applyAlignment="1">
      <alignment horizontal="left" vertical="center" wrapText="1"/>
    </xf>
    <xf numFmtId="49" fontId="9" fillId="15" borderId="76" xfId="4" applyNumberFormat="1" applyFont="1" applyFill="1" applyBorder="1" applyAlignment="1">
      <alignment horizontal="center" vertical="center"/>
    </xf>
    <xf numFmtId="0" fontId="94" fillId="15" borderId="75" xfId="4" applyFont="1" applyFill="1" applyBorder="1" applyAlignment="1">
      <alignment horizontal="center"/>
    </xf>
    <xf numFmtId="0" fontId="9" fillId="15" borderId="74" xfId="4" applyFont="1" applyFill="1" applyBorder="1" applyAlignment="1">
      <alignment vertical="center" wrapText="1"/>
    </xf>
    <xf numFmtId="1" fontId="94" fillId="15" borderId="75" xfId="4" applyNumberFormat="1" applyFont="1" applyFill="1" applyBorder="1" applyAlignment="1">
      <alignment horizontal="center"/>
    </xf>
    <xf numFmtId="3" fontId="9" fillId="15" borderId="74" xfId="4" applyNumberFormat="1" applyFont="1" applyFill="1" applyBorder="1" applyAlignment="1">
      <alignment horizontal="right" vertical="center" wrapText="1"/>
    </xf>
    <xf numFmtId="4" fontId="9" fillId="15" borderId="75" xfId="4" applyNumberFormat="1" applyFont="1" applyFill="1" applyBorder="1" applyAlignment="1">
      <alignment horizontal="right" vertical="center" wrapText="1"/>
    </xf>
    <xf numFmtId="0" fontId="9" fillId="15" borderId="82" xfId="4" applyFont="1" applyFill="1" applyBorder="1" applyAlignment="1">
      <alignment horizontal="left" vertical="center"/>
    </xf>
    <xf numFmtId="49" fontId="5" fillId="0" borderId="60" xfId="4" applyNumberFormat="1" applyFont="1" applyBorder="1" applyAlignment="1">
      <alignment horizontal="center" vertical="center"/>
    </xf>
    <xf numFmtId="49" fontId="5" fillId="0" borderId="60" xfId="4" applyNumberFormat="1" applyFont="1" applyBorder="1" applyAlignment="1">
      <alignment horizontal="left" vertical="center" wrapText="1"/>
    </xf>
    <xf numFmtId="3" fontId="5" fillId="0" borderId="60" xfId="4" applyNumberFormat="1" applyFont="1" applyBorder="1" applyAlignment="1">
      <alignment horizontal="right" vertical="center"/>
    </xf>
    <xf numFmtId="4" fontId="5" fillId="0" borderId="60" xfId="4" applyNumberFormat="1" applyFont="1" applyBorder="1" applyAlignment="1">
      <alignment vertical="center"/>
    </xf>
    <xf numFmtId="10" fontId="5" fillId="0" borderId="59" xfId="8" applyNumberFormat="1" applyFont="1" applyBorder="1" applyAlignment="1">
      <alignment vertical="center"/>
    </xf>
    <xf numFmtId="3" fontId="44" fillId="6" borderId="73" xfId="4" applyNumberFormat="1" applyFont="1" applyFill="1" applyBorder="1" applyAlignment="1">
      <alignment horizontal="right" vertical="center" wrapText="1"/>
    </xf>
    <xf numFmtId="4" fontId="44" fillId="6" borderId="56" xfId="4" applyNumberFormat="1" applyFont="1" applyFill="1" applyBorder="1" applyAlignment="1">
      <alignment vertical="center"/>
    </xf>
    <xf numFmtId="49" fontId="47" fillId="3" borderId="43" xfId="4" applyNumberFormat="1" applyFont="1" applyFill="1" applyBorder="1" applyAlignment="1">
      <alignment horizontal="center" vertical="center"/>
    </xf>
    <xf numFmtId="49" fontId="47" fillId="3" borderId="43" xfId="4" applyNumberFormat="1" applyFont="1" applyFill="1" applyBorder="1" applyAlignment="1">
      <alignment horizontal="left" vertical="center" wrapText="1"/>
    </xf>
    <xf numFmtId="3" fontId="47" fillId="3" borderId="43" xfId="4" applyNumberFormat="1" applyFont="1" applyFill="1" applyBorder="1" applyAlignment="1">
      <alignment horizontal="right" vertical="center" wrapText="1"/>
    </xf>
    <xf numFmtId="49" fontId="46" fillId="6" borderId="44" xfId="4" applyNumberFormat="1" applyFont="1" applyFill="1" applyBorder="1" applyAlignment="1">
      <alignment horizontal="center" vertical="center"/>
    </xf>
    <xf numFmtId="3" fontId="46" fillId="6" borderId="43" xfId="4" applyNumberFormat="1" applyFont="1" applyFill="1" applyBorder="1" applyAlignment="1">
      <alignment horizontal="right" vertical="center" wrapText="1"/>
    </xf>
    <xf numFmtId="3" fontId="47" fillId="4" borderId="75" xfId="4" applyNumberFormat="1" applyFont="1" applyFill="1" applyBorder="1" applyAlignment="1">
      <alignment horizontal="right" vertical="center" wrapText="1"/>
    </xf>
    <xf numFmtId="3" fontId="47" fillId="4" borderId="74" xfId="4" applyNumberFormat="1" applyFont="1" applyFill="1" applyBorder="1" applyAlignment="1">
      <alignment horizontal="right" vertical="center" wrapText="1"/>
    </xf>
    <xf numFmtId="4" fontId="47" fillId="4" borderId="75" xfId="4" applyNumberFormat="1" applyFont="1" applyFill="1" applyBorder="1" applyAlignment="1">
      <alignment horizontal="right" vertical="center" wrapText="1"/>
    </xf>
    <xf numFmtId="4" fontId="47" fillId="4" borderId="74" xfId="4" applyNumberFormat="1" applyFont="1" applyFill="1" applyBorder="1" applyAlignment="1">
      <alignment horizontal="right" vertical="center" wrapText="1"/>
    </xf>
    <xf numFmtId="3" fontId="47" fillId="3" borderId="16" xfId="4" applyNumberFormat="1" applyFont="1" applyFill="1" applyBorder="1" applyAlignment="1">
      <alignment horizontal="right" vertical="center" wrapText="1"/>
    </xf>
    <xf numFmtId="3" fontId="47" fillId="3" borderId="44" xfId="4" applyNumberFormat="1" applyFont="1" applyFill="1" applyBorder="1" applyAlignment="1">
      <alignment horizontal="right" vertical="center" wrapText="1"/>
    </xf>
    <xf numFmtId="4" fontId="47" fillId="3" borderId="5" xfId="4" applyNumberFormat="1" applyFont="1" applyFill="1" applyBorder="1" applyAlignment="1">
      <alignment horizontal="right" vertical="center" wrapText="1"/>
    </xf>
    <xf numFmtId="4" fontId="47" fillId="3" borderId="71" xfId="4" applyNumberFormat="1" applyFont="1" applyFill="1" applyBorder="1" applyAlignment="1">
      <alignment horizontal="right" vertical="center" wrapText="1"/>
    </xf>
    <xf numFmtId="49" fontId="46" fillId="0" borderId="9" xfId="4" applyNumberFormat="1" applyFont="1" applyBorder="1" applyAlignment="1">
      <alignment horizontal="center" vertical="center"/>
    </xf>
    <xf numFmtId="3" fontId="46" fillId="0" borderId="45" xfId="4" applyNumberFormat="1" applyFont="1" applyBorder="1" applyAlignment="1">
      <alignment horizontal="right" vertical="center" wrapText="1"/>
    </xf>
    <xf numFmtId="4" fontId="46" fillId="6" borderId="43" xfId="4" applyNumberFormat="1" applyFont="1" applyFill="1" applyBorder="1" applyAlignment="1">
      <alignment vertical="center"/>
    </xf>
    <xf numFmtId="4" fontId="46" fillId="0" borderId="45" xfId="4" applyNumberFormat="1" applyFont="1" applyBorder="1" applyAlignment="1">
      <alignment horizontal="right" vertical="center" wrapText="1"/>
    </xf>
    <xf numFmtId="4" fontId="47" fillId="10" borderId="83" xfId="4" applyNumberFormat="1" applyFont="1" applyFill="1" applyBorder="1" applyAlignment="1">
      <alignment horizontal="right" vertical="center" wrapText="1"/>
    </xf>
    <xf numFmtId="3" fontId="47" fillId="10" borderId="74" xfId="4" applyNumberFormat="1" applyFont="1" applyFill="1" applyBorder="1" applyAlignment="1">
      <alignment horizontal="right" vertical="center" wrapText="1"/>
    </xf>
    <xf numFmtId="49" fontId="9" fillId="10" borderId="76" xfId="4" applyNumberFormat="1" applyFont="1" applyFill="1" applyBorder="1" applyAlignment="1">
      <alignment horizontal="center" vertical="center"/>
    </xf>
    <xf numFmtId="0" fontId="94" fillId="10" borderId="75" xfId="4" applyFont="1" applyFill="1" applyBorder="1" applyAlignment="1">
      <alignment horizontal="center"/>
    </xf>
    <xf numFmtId="0" fontId="9" fillId="10" borderId="74" xfId="4" applyFont="1" applyFill="1" applyBorder="1" applyAlignment="1">
      <alignment vertical="center" wrapText="1"/>
    </xf>
    <xf numFmtId="1" fontId="94" fillId="10" borderId="75" xfId="4" applyNumberFormat="1" applyFont="1" applyFill="1" applyBorder="1" applyAlignment="1">
      <alignment horizontal="center"/>
    </xf>
    <xf numFmtId="3" fontId="9" fillId="10" borderId="74" xfId="4" applyNumberFormat="1" applyFont="1" applyFill="1" applyBorder="1" applyAlignment="1">
      <alignment horizontal="right" vertical="center" wrapText="1"/>
    </xf>
    <xf numFmtId="4" fontId="9" fillId="10" borderId="74" xfId="4" applyNumberFormat="1" applyFont="1" applyFill="1" applyBorder="1" applyAlignment="1">
      <alignment horizontal="right" vertical="center" wrapText="1"/>
    </xf>
    <xf numFmtId="0" fontId="9" fillId="10" borderId="82" xfId="4" applyFont="1" applyFill="1" applyBorder="1" applyAlignment="1">
      <alignment horizontal="left" vertical="center"/>
    </xf>
    <xf numFmtId="0" fontId="14" fillId="6" borderId="0" xfId="4" applyFill="1"/>
    <xf numFmtId="49" fontId="9" fillId="0" borderId="8" xfId="4" applyNumberFormat="1" applyFont="1" applyBorder="1" applyAlignment="1">
      <alignment horizontal="center" vertical="center"/>
    </xf>
    <xf numFmtId="49" fontId="44" fillId="6" borderId="7" xfId="4" applyNumberFormat="1" applyFont="1" applyFill="1" applyBorder="1" applyAlignment="1">
      <alignment horizontal="left" vertical="center" wrapText="1"/>
    </xf>
    <xf numFmtId="3" fontId="44" fillId="6" borderId="1" xfId="4" applyNumberFormat="1" applyFont="1" applyFill="1" applyBorder="1" applyAlignment="1">
      <alignment horizontal="right" vertical="center" wrapText="1"/>
    </xf>
    <xf numFmtId="4" fontId="44" fillId="6" borderId="7" xfId="4" applyNumberFormat="1" applyFont="1" applyFill="1" applyBorder="1" applyAlignment="1">
      <alignment horizontal="right" vertical="center" wrapText="1"/>
    </xf>
    <xf numFmtId="4" fontId="44" fillId="6" borderId="1" xfId="4" applyNumberFormat="1" applyFont="1" applyFill="1" applyBorder="1" applyAlignment="1">
      <alignment horizontal="right" vertical="center" wrapText="1"/>
    </xf>
    <xf numFmtId="0" fontId="94" fillId="10" borderId="3" xfId="4" applyFont="1" applyFill="1" applyBorder="1" applyAlignment="1">
      <alignment horizontal="center"/>
    </xf>
    <xf numFmtId="3" fontId="9" fillId="10" borderId="76" xfId="4" applyNumberFormat="1" applyFont="1" applyFill="1" applyBorder="1" applyAlignment="1">
      <alignment horizontal="right" vertical="center" wrapText="1"/>
    </xf>
    <xf numFmtId="3" fontId="44" fillId="0" borderId="4" xfId="4" applyNumberFormat="1" applyFont="1" applyBorder="1" applyAlignment="1">
      <alignment horizontal="right" vertical="center" wrapText="1"/>
    </xf>
    <xf numFmtId="4" fontId="44" fillId="0" borderId="4" xfId="4" applyNumberFormat="1" applyFont="1" applyBorder="1" applyAlignment="1">
      <alignment horizontal="right" vertical="center" wrapText="1"/>
    </xf>
    <xf numFmtId="49" fontId="51" fillId="5" borderId="7" xfId="4" applyNumberFormat="1" applyFont="1" applyFill="1" applyBorder="1" applyAlignment="1">
      <alignment horizontal="center" vertical="center"/>
    </xf>
    <xf numFmtId="0" fontId="67" fillId="5" borderId="1" xfId="4" applyFont="1" applyFill="1" applyBorder="1" applyAlignment="1">
      <alignment vertical="center" wrapText="1"/>
    </xf>
    <xf numFmtId="1" fontId="51" fillId="5" borderId="7" xfId="4" applyNumberFormat="1" applyFont="1" applyFill="1" applyBorder="1" applyAlignment="1">
      <alignment horizontal="center" vertical="center"/>
    </xf>
    <xf numFmtId="0" fontId="51" fillId="5" borderId="10" xfId="5" applyFont="1" applyFill="1" applyBorder="1" applyAlignment="1">
      <alignment horizontal="left" vertical="center" wrapText="1"/>
    </xf>
    <xf numFmtId="49" fontId="51" fillId="0" borderId="7" xfId="4" applyNumberFormat="1" applyFont="1" applyBorder="1" applyAlignment="1">
      <alignment vertical="center"/>
    </xf>
    <xf numFmtId="0" fontId="67" fillId="0" borderId="7" xfId="4" applyFont="1" applyBorder="1" applyAlignment="1">
      <alignment vertical="center" wrapText="1"/>
    </xf>
    <xf numFmtId="4" fontId="44" fillId="6" borderId="8" xfId="4" applyNumberFormat="1" applyFont="1" applyFill="1" applyBorder="1" applyAlignment="1">
      <alignment horizontal="right" vertical="center" wrapText="1"/>
    </xf>
    <xf numFmtId="0" fontId="44" fillId="0" borderId="10" xfId="5" applyFont="1" applyBorder="1" applyAlignment="1">
      <alignment horizontal="left" vertical="center" wrapText="1"/>
    </xf>
    <xf numFmtId="1" fontId="46" fillId="6" borderId="162" xfId="4" applyNumberFormat="1" applyFont="1" applyFill="1" applyBorder="1" applyAlignment="1">
      <alignment horizontal="center" vertical="center"/>
    </xf>
    <xf numFmtId="4" fontId="46" fillId="6" borderId="162" xfId="4" applyNumberFormat="1" applyFont="1" applyFill="1" applyBorder="1" applyAlignment="1">
      <alignment vertical="center"/>
    </xf>
    <xf numFmtId="4" fontId="46" fillId="6" borderId="164" xfId="4" applyNumberFormat="1" applyFont="1" applyFill="1" applyBorder="1" applyAlignment="1">
      <alignment horizontal="right" vertical="center" wrapText="1"/>
    </xf>
    <xf numFmtId="4" fontId="46" fillId="6" borderId="162" xfId="4" applyNumberFormat="1" applyFont="1" applyFill="1" applyBorder="1" applyAlignment="1">
      <alignment horizontal="right" vertical="center" wrapText="1"/>
    </xf>
    <xf numFmtId="3" fontId="9" fillId="3" borderId="16" xfId="4" applyNumberFormat="1" applyFont="1" applyFill="1" applyBorder="1" applyAlignment="1">
      <alignment horizontal="right" vertical="center" wrapText="1"/>
    </xf>
    <xf numFmtId="10" fontId="8" fillId="0" borderId="114" xfId="1" applyNumberFormat="1" applyFont="1" applyFill="1" applyBorder="1" applyAlignment="1" applyProtection="1">
      <alignment horizontal="right" vertical="center"/>
      <protection locked="0"/>
    </xf>
    <xf numFmtId="10" fontId="5" fillId="0" borderId="114" xfId="1" applyNumberFormat="1" applyFont="1" applyFill="1" applyBorder="1" applyAlignment="1" applyProtection="1">
      <alignment horizontal="right" vertical="center"/>
      <protection locked="0"/>
    </xf>
    <xf numFmtId="4" fontId="13" fillId="0" borderId="109" xfId="6" applyNumberFormat="1" applyFont="1" applyFill="1" applyBorder="1" applyAlignment="1" applyProtection="1">
      <alignment horizontal="right" vertical="center"/>
      <protection locked="0"/>
    </xf>
    <xf numFmtId="0" fontId="5" fillId="0" borderId="25" xfId="2" applyFont="1" applyBorder="1" applyAlignment="1">
      <alignment horizontal="left" vertical="center" wrapText="1"/>
    </xf>
    <xf numFmtId="4" fontId="5" fillId="0" borderId="129" xfId="6" applyNumberFormat="1" applyFont="1" applyFill="1" applyBorder="1" applyAlignment="1" applyProtection="1">
      <alignment horizontal="right" vertical="center"/>
      <protection locked="0"/>
    </xf>
    <xf numFmtId="4" fontId="8" fillId="6" borderId="109" xfId="6" applyNumberFormat="1" applyFont="1" applyFill="1" applyBorder="1" applyAlignment="1" applyProtection="1">
      <alignment horizontal="right" vertical="center"/>
      <protection locked="0"/>
    </xf>
    <xf numFmtId="0" fontId="85" fillId="4" borderId="10" xfId="2" applyFont="1" applyFill="1" applyBorder="1" applyAlignment="1">
      <alignment horizontal="center" vertical="center" wrapText="1"/>
    </xf>
    <xf numFmtId="0" fontId="85" fillId="4" borderId="14" xfId="2" applyFont="1" applyFill="1" applyBorder="1" applyAlignment="1">
      <alignment vertical="center" wrapText="1"/>
    </xf>
    <xf numFmtId="4" fontId="34" fillId="4" borderId="25" xfId="2" applyNumberFormat="1" applyFont="1" applyFill="1" applyBorder="1" applyAlignment="1">
      <alignment horizontal="right" vertical="center"/>
    </xf>
    <xf numFmtId="0" fontId="13" fillId="5" borderId="7" xfId="4" applyFont="1" applyFill="1" applyBorder="1" applyAlignment="1">
      <alignment horizontal="left" vertical="center" wrapText="1"/>
    </xf>
    <xf numFmtId="0" fontId="5" fillId="6" borderId="14" xfId="4" applyFont="1" applyFill="1" applyBorder="1" applyAlignment="1">
      <alignment vertical="center" wrapText="1"/>
    </xf>
    <xf numFmtId="0" fontId="4" fillId="0" borderId="0" xfId="2" applyFont="1" applyAlignment="1">
      <alignment wrapText="1"/>
    </xf>
    <xf numFmtId="4" fontId="4" fillId="0" borderId="0" xfId="2" applyNumberFormat="1" applyFont="1"/>
    <xf numFmtId="0" fontId="12" fillId="3" borderId="2" xfId="2" applyFont="1" applyFill="1" applyBorder="1" applyAlignment="1">
      <alignment horizontal="center" vertical="center" wrapText="1"/>
    </xf>
    <xf numFmtId="0" fontId="98" fillId="3" borderId="12" xfId="2" applyFont="1" applyFill="1" applyBorder="1" applyAlignment="1">
      <alignment vertical="center" wrapText="1"/>
    </xf>
    <xf numFmtId="0" fontId="4" fillId="6" borderId="0" xfId="2" applyFont="1" applyFill="1"/>
    <xf numFmtId="0" fontId="12" fillId="4" borderId="7" xfId="2" applyFont="1" applyFill="1" applyBorder="1" applyAlignment="1">
      <alignment horizontal="center" vertical="center" wrapText="1"/>
    </xf>
    <xf numFmtId="0" fontId="13" fillId="6" borderId="147" xfId="4" applyFont="1" applyFill="1" applyBorder="1" applyAlignment="1">
      <alignment horizontal="left" vertical="center" wrapText="1"/>
    </xf>
    <xf numFmtId="3" fontId="14" fillId="0" borderId="147" xfId="3" applyNumberFormat="1" applyFont="1" applyFill="1" applyBorder="1" applyAlignment="1">
      <alignment horizontal="right" vertical="center"/>
    </xf>
    <xf numFmtId="0" fontId="8" fillId="3" borderId="84" xfId="4" applyFont="1" applyFill="1" applyBorder="1" applyAlignment="1">
      <alignment horizontal="center" vertical="center" wrapText="1"/>
    </xf>
    <xf numFmtId="0" fontId="8" fillId="3" borderId="143" xfId="4" applyFont="1" applyFill="1" applyBorder="1" applyAlignment="1">
      <alignment horizontal="center" vertical="center" wrapText="1"/>
    </xf>
    <xf numFmtId="0" fontId="8" fillId="3" borderId="142" xfId="4" applyFont="1" applyFill="1" applyBorder="1" applyAlignment="1">
      <alignment vertical="center" wrapText="1"/>
    </xf>
    <xf numFmtId="0" fontId="8" fillId="3" borderId="84" xfId="4" applyFont="1" applyFill="1" applyBorder="1" applyAlignment="1">
      <alignment vertical="center" wrapText="1"/>
    </xf>
    <xf numFmtId="3" fontId="34" fillId="3" borderId="84" xfId="2" applyNumberFormat="1" applyFont="1" applyFill="1" applyBorder="1" applyAlignment="1">
      <alignment horizontal="right" vertical="center"/>
    </xf>
    <xf numFmtId="4" fontId="34" fillId="3" borderId="84" xfId="2" applyNumberFormat="1" applyFont="1" applyFill="1" applyBorder="1" applyAlignment="1">
      <alignment horizontal="right" vertical="center"/>
    </xf>
    <xf numFmtId="0" fontId="13" fillId="6" borderId="147" xfId="4" applyFont="1" applyFill="1" applyBorder="1" applyAlignment="1">
      <alignment vertical="center" wrapText="1"/>
    </xf>
    <xf numFmtId="0" fontId="12" fillId="4" borderId="84" xfId="4" applyFont="1" applyFill="1" applyBorder="1" applyAlignment="1">
      <alignment horizontal="center" vertical="center" wrapText="1"/>
    </xf>
    <xf numFmtId="0" fontId="12" fillId="4" borderId="142" xfId="4" applyFont="1" applyFill="1" applyBorder="1" applyAlignment="1">
      <alignment vertical="center" wrapText="1"/>
    </xf>
    <xf numFmtId="0" fontId="12" fillId="4" borderId="84" xfId="4" applyFont="1" applyFill="1" applyBorder="1" applyAlignment="1">
      <alignment vertical="center" wrapText="1"/>
    </xf>
    <xf numFmtId="3" fontId="11" fillId="4" borderId="142" xfId="2" applyNumberFormat="1" applyFont="1" applyFill="1" applyBorder="1" applyAlignment="1">
      <alignment horizontal="right" vertical="center"/>
    </xf>
    <xf numFmtId="4" fontId="11" fillId="4" borderId="142" xfId="2" applyNumberFormat="1" applyFont="1" applyFill="1" applyBorder="1" applyAlignment="1">
      <alignment horizontal="right" vertical="center"/>
    </xf>
    <xf numFmtId="10" fontId="11" fillId="4" borderId="84" xfId="1" applyNumberFormat="1" applyFont="1" applyFill="1" applyBorder="1" applyAlignment="1">
      <alignment horizontal="right" vertical="center"/>
    </xf>
    <xf numFmtId="0" fontId="12" fillId="4" borderId="84" xfId="4" applyFont="1" applyFill="1" applyBorder="1" applyAlignment="1">
      <alignment horizontal="left" vertical="center" wrapText="1"/>
    </xf>
    <xf numFmtId="3" fontId="11" fillId="4" borderId="84" xfId="2" applyNumberFormat="1" applyFont="1" applyFill="1" applyBorder="1" applyAlignment="1">
      <alignment horizontal="right" vertical="center"/>
    </xf>
    <xf numFmtId="0" fontId="8" fillId="0" borderId="14" xfId="2" applyFont="1" applyBorder="1" applyAlignment="1">
      <alignment vertical="center" wrapText="1"/>
    </xf>
    <xf numFmtId="10" fontId="8" fillId="2" borderId="84" xfId="1" applyNumberFormat="1" applyFont="1" applyFill="1" applyBorder="1" applyAlignment="1" applyProtection="1">
      <alignment horizontal="right" vertical="center"/>
      <protection locked="0"/>
    </xf>
    <xf numFmtId="49" fontId="5" fillId="17" borderId="94" xfId="6" applyNumberFormat="1" applyFont="1" applyFill="1" applyBorder="1" applyAlignment="1" applyProtection="1">
      <alignment horizontal="center" vertical="center" wrapText="1"/>
      <protection locked="0"/>
    </xf>
    <xf numFmtId="10" fontId="5" fillId="0" borderId="152" xfId="1" applyNumberFormat="1" applyFont="1" applyFill="1" applyBorder="1" applyAlignment="1" applyProtection="1">
      <alignment horizontal="right" vertical="center"/>
      <protection locked="0"/>
    </xf>
    <xf numFmtId="4" fontId="8" fillId="0" borderId="109" xfId="6" applyNumberFormat="1" applyFont="1" applyFill="1" applyBorder="1" applyAlignment="1" applyProtection="1">
      <alignment vertical="center"/>
      <protection locked="0"/>
    </xf>
    <xf numFmtId="49" fontId="5" fillId="17" borderId="30" xfId="6" applyNumberFormat="1" applyFont="1" applyFill="1" applyBorder="1" applyAlignment="1" applyProtection="1">
      <alignment vertical="center" wrapText="1"/>
      <protection locked="0"/>
    </xf>
    <xf numFmtId="4" fontId="8" fillId="6" borderId="14" xfId="6" applyNumberFormat="1" applyFont="1" applyFill="1" applyBorder="1" applyAlignment="1" applyProtection="1">
      <alignment horizontal="right" vertical="center"/>
      <protection locked="0"/>
    </xf>
    <xf numFmtId="49" fontId="5" fillId="21" borderId="25" xfId="6" applyNumberFormat="1" applyFont="1" applyFill="1" applyBorder="1" applyAlignment="1" applyProtection="1">
      <alignment vertical="center" wrapText="1"/>
      <protection locked="0"/>
    </xf>
    <xf numFmtId="49" fontId="5" fillId="21" borderId="14" xfId="6" applyNumberFormat="1" applyFont="1" applyFill="1" applyBorder="1" applyAlignment="1" applyProtection="1">
      <alignment vertical="center" wrapText="1"/>
      <protection locked="0"/>
    </xf>
    <xf numFmtId="4" fontId="5" fillId="6" borderId="14" xfId="6" applyNumberFormat="1" applyFont="1" applyFill="1" applyBorder="1" applyAlignment="1" applyProtection="1">
      <alignment horizontal="right" vertical="center"/>
      <protection locked="0"/>
    </xf>
    <xf numFmtId="4" fontId="5" fillId="0" borderId="141" xfId="6" applyNumberFormat="1" applyFont="1" applyFill="1" applyBorder="1" applyAlignment="1" applyProtection="1">
      <alignment horizontal="right" vertical="center"/>
      <protection locked="0"/>
    </xf>
    <xf numFmtId="10" fontId="8" fillId="0" borderId="152" xfId="1" applyNumberFormat="1" applyFont="1" applyFill="1" applyBorder="1" applyAlignment="1" applyProtection="1">
      <alignment horizontal="right" vertical="center"/>
      <protection locked="0"/>
    </xf>
    <xf numFmtId="4" fontId="5" fillId="0" borderId="140" xfId="6" applyNumberFormat="1" applyFont="1" applyFill="1" applyBorder="1" applyAlignment="1" applyProtection="1">
      <alignment horizontal="right" vertical="center"/>
      <protection locked="0"/>
    </xf>
    <xf numFmtId="10" fontId="8" fillId="10" borderId="7" xfId="1" applyNumberFormat="1" applyFont="1" applyFill="1" applyBorder="1" applyAlignment="1" applyProtection="1">
      <alignment horizontal="right" vertical="center"/>
      <protection locked="0"/>
    </xf>
    <xf numFmtId="0" fontId="100" fillId="0" borderId="0" xfId="14" applyFont="1"/>
    <xf numFmtId="0" fontId="13" fillId="0" borderId="0" xfId="4" applyFont="1" applyAlignment="1">
      <alignment horizontal="right"/>
    </xf>
    <xf numFmtId="0" fontId="9" fillId="11" borderId="86" xfId="14" applyFont="1" applyFill="1" applyBorder="1" applyAlignment="1">
      <alignment horizontal="center" vertical="center"/>
    </xf>
    <xf numFmtId="0" fontId="9" fillId="11" borderId="84" xfId="14" applyFont="1" applyFill="1" applyBorder="1" applyAlignment="1">
      <alignment horizontal="center" vertical="center"/>
    </xf>
    <xf numFmtId="0" fontId="9" fillId="11" borderId="85" xfId="14" applyFont="1" applyFill="1" applyBorder="1" applyAlignment="1">
      <alignment horizontal="center" vertical="center"/>
    </xf>
    <xf numFmtId="0" fontId="9" fillId="11" borderId="84" xfId="14" applyFont="1" applyFill="1" applyBorder="1" applyAlignment="1">
      <alignment horizontal="center" vertical="center" wrapText="1"/>
    </xf>
    <xf numFmtId="0" fontId="49" fillId="0" borderId="88" xfId="14" applyFont="1" applyBorder="1" applyAlignment="1">
      <alignment horizontal="center" vertical="center"/>
    </xf>
    <xf numFmtId="0" fontId="49" fillId="0" borderId="87" xfId="14" applyFont="1" applyBorder="1" applyAlignment="1">
      <alignment horizontal="center" vertical="center"/>
    </xf>
    <xf numFmtId="0" fontId="49" fillId="0" borderId="44" xfId="14" applyFont="1" applyBorder="1" applyAlignment="1">
      <alignment horizontal="center" vertical="center"/>
    </xf>
    <xf numFmtId="0" fontId="44" fillId="0" borderId="79" xfId="14" applyFont="1" applyBorder="1" applyAlignment="1">
      <alignment horizontal="left" vertical="center"/>
    </xf>
    <xf numFmtId="3" fontId="44" fillId="0" borderId="78" xfId="14" applyNumberFormat="1" applyFont="1" applyBorder="1" applyAlignment="1">
      <alignment vertical="center" wrapText="1"/>
    </xf>
    <xf numFmtId="4" fontId="44" fillId="0" borderId="73" xfId="14" applyNumberFormat="1" applyFont="1" applyBorder="1" applyAlignment="1">
      <alignment horizontal="right" vertical="center"/>
    </xf>
    <xf numFmtId="0" fontId="44" fillId="0" borderId="57" xfId="15" applyFont="1" applyBorder="1" applyAlignment="1">
      <alignment horizontal="left" vertical="center" wrapText="1"/>
    </xf>
    <xf numFmtId="0" fontId="44" fillId="0" borderId="78" xfId="11" applyFont="1" applyBorder="1" applyAlignment="1">
      <alignment horizontal="left" vertical="center" wrapText="1"/>
    </xf>
    <xf numFmtId="3" fontId="9" fillId="11" borderId="84" xfId="14" applyNumberFormat="1" applyFont="1" applyFill="1" applyBorder="1" applyAlignment="1">
      <alignment horizontal="right" vertical="center"/>
    </xf>
    <xf numFmtId="4" fontId="9" fillId="11" borderId="84" xfId="14" applyNumberFormat="1" applyFont="1" applyFill="1" applyBorder="1" applyAlignment="1">
      <alignment horizontal="right" vertical="center"/>
    </xf>
    <xf numFmtId="3" fontId="44" fillId="0" borderId="78" xfId="14" applyNumberFormat="1" applyFont="1" applyBorder="1" applyAlignment="1">
      <alignment horizontal="right" vertical="center"/>
    </xf>
    <xf numFmtId="0" fontId="44" fillId="0" borderId="57" xfId="14" applyFont="1" applyBorder="1" applyAlignment="1">
      <alignment horizontal="left" vertical="center"/>
    </xf>
    <xf numFmtId="4" fontId="44" fillId="0" borderId="73" xfId="14" applyNumberFormat="1" applyFont="1" applyBorder="1" applyAlignment="1">
      <alignment vertical="center" wrapText="1"/>
    </xf>
    <xf numFmtId="4" fontId="9" fillId="11" borderId="85" xfId="14" applyNumberFormat="1" applyFont="1" applyFill="1" applyBorder="1" applyAlignment="1">
      <alignment horizontal="right" vertical="center"/>
    </xf>
    <xf numFmtId="4" fontId="44" fillId="0" borderId="78" xfId="14" applyNumberFormat="1" applyFont="1" applyBorder="1" applyAlignment="1">
      <alignment horizontal="right" vertical="center"/>
    </xf>
    <xf numFmtId="10" fontId="35" fillId="2" borderId="84" xfId="1" applyNumberFormat="1" applyFont="1" applyFill="1" applyBorder="1" applyAlignment="1" applyProtection="1">
      <alignment horizontal="right" vertical="center"/>
      <protection locked="0"/>
    </xf>
    <xf numFmtId="10" fontId="35" fillId="10" borderId="84" xfId="1" applyNumberFormat="1" applyFont="1" applyFill="1" applyBorder="1" applyAlignment="1" applyProtection="1">
      <alignment horizontal="right" vertical="center"/>
      <protection locked="0"/>
    </xf>
    <xf numFmtId="4" fontId="35" fillId="0" borderId="14" xfId="6" applyNumberFormat="1" applyFont="1" applyFill="1" applyBorder="1" applyAlignment="1" applyProtection="1">
      <alignment horizontal="right" vertical="center"/>
      <protection locked="0"/>
    </xf>
    <xf numFmtId="4" fontId="31" fillId="0" borderId="118" xfId="6" applyNumberFormat="1" applyFont="1" applyFill="1" applyBorder="1" applyAlignment="1" applyProtection="1">
      <alignment horizontal="right" vertical="center"/>
      <protection locked="0"/>
    </xf>
    <xf numFmtId="10" fontId="31" fillId="0" borderId="30" xfId="1" applyNumberFormat="1" applyFont="1" applyFill="1" applyBorder="1" applyAlignment="1" applyProtection="1">
      <alignment horizontal="right" vertical="center"/>
      <protection locked="0"/>
    </xf>
    <xf numFmtId="0" fontId="5" fillId="0" borderId="147" xfId="4" applyFont="1" applyBorder="1" applyAlignment="1">
      <alignment horizontal="center" vertical="center" wrapText="1"/>
    </xf>
    <xf numFmtId="0" fontId="46" fillId="0" borderId="0" xfId="13" applyFont="1"/>
    <xf numFmtId="0" fontId="3" fillId="0" borderId="0" xfId="11"/>
    <xf numFmtId="0" fontId="51" fillId="0" borderId="0" xfId="12" applyFont="1" applyAlignment="1">
      <alignment horizontal="center" vertical="center" wrapText="1"/>
    </xf>
    <xf numFmtId="0" fontId="51" fillId="22" borderId="0" xfId="12" applyFont="1" applyFill="1" applyAlignment="1">
      <alignment horizontal="center" vertical="center" wrapText="1"/>
    </xf>
    <xf numFmtId="0" fontId="49" fillId="0" borderId="1" xfId="12" applyFont="1" applyBorder="1" applyAlignment="1">
      <alignment horizontal="right" vertical="center" wrapText="1"/>
    </xf>
    <xf numFmtId="0" fontId="9" fillId="3" borderId="86" xfId="12" applyFont="1" applyFill="1" applyBorder="1" applyAlignment="1">
      <alignment horizontal="center" vertical="center"/>
    </xf>
    <xf numFmtId="0" fontId="47" fillId="3" borderId="84" xfId="13" applyFont="1" applyFill="1" applyBorder="1" applyAlignment="1">
      <alignment horizontal="center" vertical="center"/>
    </xf>
    <xf numFmtId="0" fontId="46" fillId="3" borderId="86" xfId="13" applyFont="1" applyFill="1" applyBorder="1" applyAlignment="1">
      <alignment horizontal="center" vertical="center"/>
    </xf>
    <xf numFmtId="0" fontId="44" fillId="3" borderId="84" xfId="12" applyFont="1" applyFill="1" applyBorder="1" applyAlignment="1">
      <alignment horizontal="center" vertical="center"/>
    </xf>
    <xf numFmtId="0" fontId="44" fillId="3" borderId="150" xfId="12" applyFont="1" applyFill="1" applyBorder="1" applyAlignment="1">
      <alignment horizontal="center" vertical="center"/>
    </xf>
    <xf numFmtId="0" fontId="44" fillId="3" borderId="86" xfId="12" applyFont="1" applyFill="1" applyBorder="1" applyAlignment="1">
      <alignment horizontal="center" vertical="center"/>
    </xf>
    <xf numFmtId="0" fontId="47" fillId="0" borderId="164" xfId="13" applyFont="1" applyBorder="1" applyAlignment="1">
      <alignment horizontal="center" vertical="center"/>
    </xf>
    <xf numFmtId="0" fontId="44" fillId="22" borderId="162" xfId="17" applyFont="1" applyFill="1" applyBorder="1" applyAlignment="1">
      <alignment horizontal="center" vertical="center" wrapText="1"/>
    </xf>
    <xf numFmtId="0" fontId="44" fillId="22" borderId="163" xfId="17" applyFont="1" applyFill="1" applyBorder="1" applyAlignment="1">
      <alignment horizontal="left" vertical="center" wrapText="1"/>
    </xf>
    <xf numFmtId="3" fontId="44" fillId="0" borderId="164" xfId="12" applyNumberFormat="1" applyFont="1" applyBorder="1" applyAlignment="1">
      <alignment vertical="center"/>
    </xf>
    <xf numFmtId="4" fontId="46" fillId="0" borderId="162" xfId="13" applyNumberFormat="1" applyFont="1" applyBorder="1" applyAlignment="1">
      <alignment vertical="center"/>
    </xf>
    <xf numFmtId="0" fontId="47" fillId="0" borderId="167" xfId="13" applyFont="1" applyBorder="1" applyAlignment="1">
      <alignment horizontal="center" vertical="center"/>
    </xf>
    <xf numFmtId="0" fontId="44" fillId="22" borderId="166" xfId="17" applyFont="1" applyFill="1" applyBorder="1" applyAlignment="1">
      <alignment horizontal="center" vertical="center" wrapText="1"/>
    </xf>
    <xf numFmtId="0" fontId="44" fillId="22" borderId="160" xfId="17" applyFont="1" applyFill="1" applyBorder="1" applyAlignment="1">
      <alignment horizontal="left" vertical="center" wrapText="1"/>
    </xf>
    <xf numFmtId="3" fontId="44" fillId="0" borderId="167" xfId="12" applyNumberFormat="1" applyFont="1" applyBorder="1" applyAlignment="1">
      <alignment vertical="center"/>
    </xf>
    <xf numFmtId="4" fontId="46" fillId="0" borderId="166" xfId="13" applyNumberFormat="1" applyFont="1" applyBorder="1" applyAlignment="1">
      <alignment vertical="center"/>
    </xf>
    <xf numFmtId="0" fontId="47" fillId="0" borderId="157" xfId="13" applyFont="1" applyBorder="1" applyAlignment="1">
      <alignment horizontal="center" vertical="center"/>
    </xf>
    <xf numFmtId="0" fontId="44" fillId="22" borderId="166" xfId="17" applyFont="1" applyFill="1" applyBorder="1" applyAlignment="1">
      <alignment horizontal="center" vertical="center"/>
    </xf>
    <xf numFmtId="0" fontId="47" fillId="0" borderId="166" xfId="13" applyFont="1" applyBorder="1" applyAlignment="1">
      <alignment horizontal="center" vertical="center"/>
    </xf>
    <xf numFmtId="3" fontId="44" fillId="6" borderId="0" xfId="12" applyNumberFormat="1" applyFont="1" applyFill="1" applyAlignment="1">
      <alignment vertical="center"/>
    </xf>
    <xf numFmtId="4" fontId="46" fillId="0" borderId="14" xfId="11" applyNumberFormat="1" applyFont="1" applyBorder="1" applyAlignment="1">
      <alignment vertical="center"/>
    </xf>
    <xf numFmtId="3" fontId="46" fillId="0" borderId="167" xfId="12" applyNumberFormat="1" applyFont="1" applyBorder="1" applyAlignment="1">
      <alignment vertical="center"/>
    </xf>
    <xf numFmtId="0" fontId="47" fillId="0" borderId="109" xfId="13" applyFont="1" applyBorder="1" applyAlignment="1">
      <alignment horizontal="center" vertical="center"/>
    </xf>
    <xf numFmtId="3" fontId="24" fillId="0" borderId="0" xfId="11" applyNumberFormat="1" applyFont="1"/>
    <xf numFmtId="3" fontId="9" fillId="3" borderId="86" xfId="12" applyNumberFormat="1" applyFont="1" applyFill="1" applyBorder="1" applyAlignment="1">
      <alignment horizontal="right" vertical="center"/>
    </xf>
    <xf numFmtId="4" fontId="9" fillId="3" borderId="84" xfId="12" applyNumberFormat="1" applyFont="1" applyFill="1" applyBorder="1" applyAlignment="1">
      <alignment horizontal="right" vertical="center"/>
    </xf>
    <xf numFmtId="3" fontId="45" fillId="0" borderId="0" xfId="12" applyNumberFormat="1" applyFont="1" applyAlignment="1">
      <alignment vertical="center"/>
    </xf>
    <xf numFmtId="3" fontId="45" fillId="0" borderId="0" xfId="13" applyNumberFormat="1" applyFont="1" applyAlignment="1">
      <alignment vertical="center"/>
    </xf>
    <xf numFmtId="0" fontId="3" fillId="0" borderId="0" xfId="11" applyAlignment="1">
      <alignment horizontal="right"/>
    </xf>
    <xf numFmtId="2" fontId="3" fillId="0" borderId="0" xfId="11" applyNumberFormat="1"/>
    <xf numFmtId="3" fontId="102" fillId="0" borderId="0" xfId="11" applyNumberFormat="1" applyFont="1"/>
    <xf numFmtId="4" fontId="5" fillId="17" borderId="118" xfId="6" applyNumberFormat="1" applyFont="1" applyFill="1" applyBorder="1" applyAlignment="1" applyProtection="1">
      <alignment horizontal="right" vertical="center" wrapText="1"/>
      <protection locked="0"/>
    </xf>
    <xf numFmtId="0" fontId="13" fillId="0" borderId="118" xfId="4" applyFont="1" applyBorder="1" applyAlignment="1">
      <alignment horizontal="left" vertical="center" wrapText="1"/>
    </xf>
    <xf numFmtId="3" fontId="14" fillId="0" borderId="157" xfId="2" applyNumberFormat="1" applyFont="1" applyBorder="1" applyAlignment="1">
      <alignment horizontal="right" vertical="center"/>
    </xf>
    <xf numFmtId="3" fontId="9" fillId="11" borderId="75" xfId="4" applyNumberFormat="1" applyFont="1" applyFill="1" applyBorder="1" applyAlignment="1">
      <alignment horizontal="center" vertical="center"/>
    </xf>
    <xf numFmtId="4" fontId="9" fillId="11" borderId="75" xfId="4" applyNumberFormat="1" applyFont="1" applyFill="1" applyBorder="1" applyAlignment="1">
      <alignment horizontal="center" vertical="center"/>
    </xf>
    <xf numFmtId="0" fontId="44" fillId="11" borderId="75" xfId="4" applyFont="1" applyFill="1" applyBorder="1" applyAlignment="1">
      <alignment horizontal="center" vertical="center" wrapText="1"/>
    </xf>
    <xf numFmtId="0" fontId="94" fillId="0" borderId="0" xfId="4" applyFont="1" applyAlignment="1">
      <alignment horizontal="center"/>
    </xf>
    <xf numFmtId="0" fontId="9" fillId="0" borderId="0" xfId="4" applyFont="1" applyAlignment="1">
      <alignment horizontal="center" vertical="center" wrapText="1"/>
    </xf>
    <xf numFmtId="0" fontId="49" fillId="0" borderId="0" xfId="4" applyFont="1" applyAlignment="1">
      <alignment horizontal="right" vertical="center" wrapText="1"/>
    </xf>
    <xf numFmtId="4" fontId="16" fillId="0" borderId="0" xfId="6" applyNumberFormat="1" applyFont="1" applyFill="1" applyBorder="1" applyAlignment="1" applyProtection="1">
      <alignment horizontal="left" vertical="center"/>
      <protection locked="0"/>
    </xf>
    <xf numFmtId="0" fontId="94" fillId="0" borderId="0" xfId="4" applyFont="1" applyAlignment="1">
      <alignment wrapText="1"/>
    </xf>
    <xf numFmtId="0" fontId="94" fillId="0" borderId="0" xfId="4" applyFont="1"/>
    <xf numFmtId="0" fontId="94" fillId="0" borderId="0" xfId="4" applyFont="1" applyAlignment="1">
      <alignment horizontal="left"/>
    </xf>
    <xf numFmtId="0" fontId="51" fillId="0" borderId="0" xfId="4" applyFont="1" applyAlignment="1">
      <alignment horizontal="center" vertical="center" wrapText="1"/>
    </xf>
    <xf numFmtId="0" fontId="51" fillId="11" borderId="4" xfId="4" applyFont="1" applyFill="1" applyBorder="1" applyAlignment="1">
      <alignment horizontal="center" vertical="center" wrapText="1"/>
    </xf>
    <xf numFmtId="49" fontId="49" fillId="10" borderId="75" xfId="4" applyNumberFormat="1" applyFont="1" applyFill="1" applyBorder="1" applyAlignment="1">
      <alignment horizontal="center" vertical="center"/>
    </xf>
    <xf numFmtId="49" fontId="9" fillId="10" borderId="74" xfId="4" applyNumberFormat="1" applyFont="1" applyFill="1" applyBorder="1" applyAlignment="1">
      <alignment horizontal="left" vertical="center" wrapText="1"/>
    </xf>
    <xf numFmtId="1" fontId="49" fillId="10" borderId="75" xfId="4" applyNumberFormat="1" applyFont="1" applyFill="1" applyBorder="1" applyAlignment="1">
      <alignment horizontal="center" vertical="center"/>
    </xf>
    <xf numFmtId="3" fontId="51" fillId="5" borderId="1" xfId="4" applyNumberFormat="1" applyFont="1" applyFill="1" applyBorder="1" applyAlignment="1">
      <alignment horizontal="right" vertical="center" wrapText="1"/>
    </xf>
    <xf numFmtId="4" fontId="51" fillId="5" borderId="1" xfId="4" applyNumberFormat="1" applyFont="1" applyFill="1" applyBorder="1" applyAlignment="1">
      <alignment horizontal="right" vertical="center" wrapText="1"/>
    </xf>
    <xf numFmtId="4" fontId="51" fillId="5" borderId="7" xfId="4" applyNumberFormat="1" applyFont="1" applyFill="1" applyBorder="1" applyAlignment="1">
      <alignment horizontal="right" vertical="center" wrapText="1"/>
    </xf>
    <xf numFmtId="0" fontId="52" fillId="0" borderId="0" xfId="4" applyFont="1" applyAlignment="1">
      <alignment vertical="center"/>
    </xf>
    <xf numFmtId="0" fontId="45" fillId="0" borderId="0" xfId="4" applyFont="1" applyAlignment="1">
      <alignment vertical="center"/>
    </xf>
    <xf numFmtId="3" fontId="47" fillId="10" borderId="84" xfId="4" applyNumberFormat="1" applyFont="1" applyFill="1" applyBorder="1" applyAlignment="1">
      <alignment horizontal="right" vertical="center" wrapText="1"/>
    </xf>
    <xf numFmtId="0" fontId="9" fillId="11" borderId="3" xfId="4" applyFont="1" applyFill="1" applyBorder="1" applyAlignment="1">
      <alignment horizontal="center" vertical="center" wrapText="1"/>
    </xf>
    <xf numFmtId="0" fontId="9" fillId="11" borderId="28" xfId="4" applyFont="1" applyFill="1" applyBorder="1" applyAlignment="1">
      <alignment horizontal="center" vertical="center" wrapText="1"/>
    </xf>
    <xf numFmtId="49" fontId="44" fillId="0" borderId="7" xfId="4" applyNumberFormat="1" applyFont="1" applyBorder="1" applyAlignment="1">
      <alignment horizontal="center" vertical="center"/>
    </xf>
    <xf numFmtId="3" fontId="9" fillId="3" borderId="44" xfId="4" applyNumberFormat="1" applyFont="1" applyFill="1" applyBorder="1" applyAlignment="1">
      <alignment horizontal="right" vertical="center"/>
    </xf>
    <xf numFmtId="4" fontId="9" fillId="3" borderId="16" xfId="4" applyNumberFormat="1" applyFont="1" applyFill="1" applyBorder="1" applyAlignment="1">
      <alignment horizontal="right" vertical="center"/>
    </xf>
    <xf numFmtId="49" fontId="44" fillId="6" borderId="109" xfId="4" applyNumberFormat="1" applyFont="1" applyFill="1" applyBorder="1" applyAlignment="1">
      <alignment horizontal="center" vertical="center"/>
    </xf>
    <xf numFmtId="4" fontId="44" fillId="6" borderId="109" xfId="4" applyNumberFormat="1" applyFont="1" applyFill="1" applyBorder="1" applyAlignment="1">
      <alignment horizontal="right" vertical="center" wrapText="1"/>
    </xf>
    <xf numFmtId="4" fontId="44" fillId="6" borderId="168" xfId="4" applyNumberFormat="1" applyFont="1" applyFill="1" applyBorder="1" applyAlignment="1">
      <alignment horizontal="right" vertical="center" wrapText="1"/>
    </xf>
    <xf numFmtId="0" fontId="44" fillId="4" borderId="75" xfId="4" applyFont="1" applyFill="1" applyBorder="1" applyAlignment="1">
      <alignment horizontal="center"/>
    </xf>
    <xf numFmtId="0" fontId="9" fillId="4" borderId="75" xfId="4" applyFont="1" applyFill="1" applyBorder="1" applyAlignment="1">
      <alignment vertical="center" wrapText="1"/>
    </xf>
    <xf numFmtId="0" fontId="9" fillId="3" borderId="16" xfId="4" applyFont="1" applyFill="1" applyBorder="1" applyAlignment="1">
      <alignment vertical="center" wrapText="1"/>
    </xf>
    <xf numFmtId="4" fontId="44" fillId="6" borderId="69" xfId="4" applyNumberFormat="1" applyFont="1" applyFill="1" applyBorder="1" applyAlignment="1">
      <alignment horizontal="right" vertical="center"/>
    </xf>
    <xf numFmtId="4" fontId="44" fillId="6" borderId="56" xfId="4" applyNumberFormat="1" applyFont="1" applyFill="1" applyBorder="1" applyAlignment="1">
      <alignment horizontal="right" vertical="center"/>
    </xf>
    <xf numFmtId="0" fontId="44" fillId="4" borderId="74" xfId="4" applyFont="1" applyFill="1" applyBorder="1" applyAlignment="1">
      <alignment horizontal="center"/>
    </xf>
    <xf numFmtId="3" fontId="44" fillId="6" borderId="78" xfId="4" applyNumberFormat="1" applyFont="1" applyFill="1" applyBorder="1" applyAlignment="1">
      <alignment vertical="center"/>
    </xf>
    <xf numFmtId="4" fontId="44" fillId="6" borderId="73" xfId="4" applyNumberFormat="1" applyFont="1" applyFill="1" applyBorder="1" applyAlignment="1">
      <alignment vertical="center"/>
    </xf>
    <xf numFmtId="49" fontId="44" fillId="6" borderId="44" xfId="4" applyNumberFormat="1" applyFont="1" applyFill="1" applyBorder="1" applyAlignment="1">
      <alignment horizontal="center" vertical="center"/>
    </xf>
    <xf numFmtId="49" fontId="9" fillId="4" borderId="74" xfId="4" applyNumberFormat="1" applyFont="1" applyFill="1" applyBorder="1" applyAlignment="1">
      <alignment horizontal="center" vertical="center"/>
    </xf>
    <xf numFmtId="49" fontId="44" fillId="6" borderId="168" xfId="4" applyNumberFormat="1" applyFont="1" applyFill="1" applyBorder="1" applyAlignment="1">
      <alignment horizontal="center" vertical="center"/>
    </xf>
    <xf numFmtId="3" fontId="8" fillId="13" borderId="51" xfId="4" applyNumberFormat="1" applyFont="1" applyFill="1" applyBorder="1" applyAlignment="1">
      <alignment horizontal="right" vertical="center"/>
    </xf>
    <xf numFmtId="4" fontId="8" fillId="13" borderId="51" xfId="4" applyNumberFormat="1" applyFont="1" applyFill="1" applyBorder="1" applyAlignment="1">
      <alignment horizontal="right" vertical="center"/>
    </xf>
    <xf numFmtId="10" fontId="8" fillId="13" borderId="47" xfId="9" applyNumberFormat="1" applyFont="1" applyFill="1" applyBorder="1" applyAlignment="1">
      <alignment vertical="center"/>
    </xf>
    <xf numFmtId="10" fontId="8" fillId="12" borderId="62" xfId="8" applyNumberFormat="1" applyFont="1" applyFill="1" applyBorder="1" applyAlignment="1">
      <alignment vertical="center"/>
    </xf>
    <xf numFmtId="10" fontId="5" fillId="0" borderId="62" xfId="9" applyNumberFormat="1" applyFont="1" applyBorder="1" applyAlignment="1">
      <alignment vertical="center"/>
    </xf>
    <xf numFmtId="0" fontId="8" fillId="3" borderId="2" xfId="4" applyFont="1" applyFill="1" applyBorder="1" applyAlignment="1">
      <alignment horizontal="center" vertical="center"/>
    </xf>
    <xf numFmtId="0" fontId="104" fillId="3" borderId="2" xfId="4" applyFont="1" applyFill="1" applyBorder="1" applyAlignment="1">
      <alignment horizontal="center" vertical="center"/>
    </xf>
    <xf numFmtId="3" fontId="8" fillId="3" borderId="2" xfId="4" applyNumberFormat="1" applyFont="1" applyFill="1" applyBorder="1" applyAlignment="1">
      <alignment horizontal="right" vertical="center"/>
    </xf>
    <xf numFmtId="4" fontId="8" fillId="3" borderId="2" xfId="4" applyNumberFormat="1" applyFont="1" applyFill="1" applyBorder="1" applyAlignment="1">
      <alignment horizontal="right" vertical="center"/>
    </xf>
    <xf numFmtId="10" fontId="8" fillId="3" borderId="2" xfId="8" applyNumberFormat="1" applyFont="1" applyFill="1" applyBorder="1" applyAlignment="1">
      <alignment horizontal="right" vertical="center"/>
    </xf>
    <xf numFmtId="0" fontId="5" fillId="0" borderId="63" xfId="4" applyFont="1" applyBorder="1" applyAlignment="1">
      <alignment horizontal="left" vertical="center" wrapText="1"/>
    </xf>
    <xf numFmtId="49" fontId="5" fillId="0" borderId="63" xfId="4" applyNumberFormat="1" applyFont="1" applyBorder="1" applyAlignment="1">
      <alignment vertical="center" wrapText="1"/>
    </xf>
    <xf numFmtId="3" fontId="8" fillId="13" borderId="158" xfId="4" applyNumberFormat="1" applyFont="1" applyFill="1" applyBorder="1" applyAlignment="1">
      <alignment horizontal="right" vertical="center"/>
    </xf>
    <xf numFmtId="4" fontId="8" fillId="13" borderId="158" xfId="4" applyNumberFormat="1" applyFont="1" applyFill="1" applyBorder="1" applyAlignment="1">
      <alignment horizontal="right" vertical="center"/>
    </xf>
    <xf numFmtId="10" fontId="8" fillId="13" borderId="170" xfId="9" applyNumberFormat="1" applyFont="1" applyFill="1" applyBorder="1" applyAlignment="1">
      <alignment vertical="center"/>
    </xf>
    <xf numFmtId="3" fontId="8" fillId="12" borderId="158" xfId="4" applyNumberFormat="1" applyFont="1" applyFill="1" applyBorder="1" applyAlignment="1">
      <alignment horizontal="right" vertical="center"/>
    </xf>
    <xf numFmtId="4" fontId="8" fillId="12" borderId="158" xfId="4" applyNumberFormat="1" applyFont="1" applyFill="1" applyBorder="1" applyAlignment="1">
      <alignment horizontal="right" vertical="center"/>
    </xf>
    <xf numFmtId="10" fontId="8" fillId="12" borderId="170" xfId="8" applyNumberFormat="1" applyFont="1" applyFill="1" applyBorder="1" applyAlignment="1">
      <alignment horizontal="right" vertical="center"/>
    </xf>
    <xf numFmtId="49" fontId="5" fillId="0" borderId="158" xfId="4" applyNumberFormat="1" applyFont="1" applyBorder="1" applyAlignment="1">
      <alignment horizontal="center" vertical="center"/>
    </xf>
    <xf numFmtId="49" fontId="5" fillId="0" borderId="158" xfId="4" applyNumberFormat="1" applyFont="1" applyBorder="1" applyAlignment="1">
      <alignment horizontal="left" vertical="center" wrapText="1"/>
    </xf>
    <xf numFmtId="3" fontId="5" fillId="0" borderId="158" xfId="4" applyNumberFormat="1" applyFont="1" applyBorder="1" applyAlignment="1">
      <alignment horizontal="right" vertical="center"/>
    </xf>
    <xf numFmtId="4" fontId="5" fillId="0" borderId="158" xfId="4" applyNumberFormat="1" applyFont="1" applyBorder="1" applyAlignment="1">
      <alignment vertical="center"/>
    </xf>
    <xf numFmtId="10" fontId="5" fillId="0" borderId="170" xfId="8" applyNumberFormat="1" applyFont="1" applyBorder="1" applyAlignment="1">
      <alignment vertical="center"/>
    </xf>
    <xf numFmtId="0" fontId="13" fillId="0" borderId="1" xfId="4" applyFont="1" applyBorder="1" applyAlignment="1">
      <alignment horizontal="left" vertical="center" wrapText="1"/>
    </xf>
    <xf numFmtId="0" fontId="104" fillId="0" borderId="49" xfId="4" applyFont="1" applyBorder="1" applyAlignment="1">
      <alignment horizontal="center" vertical="center"/>
    </xf>
    <xf numFmtId="0" fontId="104" fillId="0" borderId="53" xfId="4" applyFont="1" applyBorder="1" applyAlignment="1">
      <alignment horizontal="center" vertical="center"/>
    </xf>
    <xf numFmtId="0" fontId="104" fillId="0" borderId="48" xfId="4" applyFont="1" applyBorder="1" applyAlignment="1">
      <alignment horizontal="center" vertical="center"/>
    </xf>
    <xf numFmtId="49" fontId="8" fillId="3" borderId="40" xfId="4" applyNumberFormat="1" applyFont="1" applyFill="1" applyBorder="1" applyAlignment="1">
      <alignment horizontal="center" vertical="center"/>
    </xf>
    <xf numFmtId="10" fontId="8" fillId="3" borderId="65" xfId="8" applyNumberFormat="1" applyFont="1" applyFill="1" applyBorder="1" applyAlignment="1">
      <alignment horizontal="right" vertical="center"/>
    </xf>
    <xf numFmtId="10" fontId="8" fillId="0" borderId="62" xfId="8" applyNumberFormat="1" applyFont="1" applyBorder="1" applyAlignment="1">
      <alignment horizontal="right" vertical="center"/>
    </xf>
    <xf numFmtId="10" fontId="5" fillId="0" borderId="62" xfId="8" applyNumberFormat="1" applyFont="1" applyBorder="1" applyAlignment="1">
      <alignment horizontal="right" vertical="center"/>
    </xf>
    <xf numFmtId="10" fontId="5" fillId="0" borderId="70" xfId="8" applyNumberFormat="1" applyFont="1" applyFill="1" applyBorder="1" applyAlignment="1">
      <alignment horizontal="right" vertical="center"/>
    </xf>
    <xf numFmtId="3" fontId="40" fillId="0" borderId="0" xfId="4" applyNumberFormat="1" applyFont="1" applyAlignment="1">
      <alignment horizontal="right" vertical="center"/>
    </xf>
    <xf numFmtId="49" fontId="89" fillId="0" borderId="158" xfId="4" applyNumberFormat="1" applyFont="1" applyBorder="1" applyAlignment="1">
      <alignment horizontal="center" vertical="center" wrapText="1"/>
    </xf>
    <xf numFmtId="3" fontId="89" fillId="0" borderId="158" xfId="4" applyNumberFormat="1" applyFont="1" applyBorder="1" applyAlignment="1">
      <alignment horizontal="right" vertical="center" wrapText="1"/>
    </xf>
    <xf numFmtId="4" fontId="13" fillId="0" borderId="158" xfId="4" applyNumberFormat="1" applyFont="1" applyBorder="1" applyAlignment="1">
      <alignment horizontal="right" vertical="center"/>
    </xf>
    <xf numFmtId="4" fontId="13" fillId="0" borderId="159" xfId="4" applyNumberFormat="1" applyFont="1" applyBorder="1" applyAlignment="1">
      <alignment horizontal="right" vertical="center"/>
    </xf>
    <xf numFmtId="49" fontId="89" fillId="0" borderId="171" xfId="4" applyNumberFormat="1" applyFont="1" applyBorder="1" applyAlignment="1">
      <alignment horizontal="center" vertical="center" wrapText="1"/>
    </xf>
    <xf numFmtId="3" fontId="89" fillId="0" borderId="171" xfId="4" applyNumberFormat="1" applyFont="1" applyBorder="1" applyAlignment="1">
      <alignment horizontal="right" vertical="center" wrapText="1"/>
    </xf>
    <xf numFmtId="4" fontId="5" fillId="0" borderId="171" xfId="4" applyNumberFormat="1" applyFont="1" applyBorder="1" applyAlignment="1">
      <alignment horizontal="right" vertical="center"/>
    </xf>
    <xf numFmtId="4" fontId="13" fillId="0" borderId="171" xfId="4" applyNumberFormat="1" applyFont="1" applyBorder="1" applyAlignment="1">
      <alignment horizontal="right" vertical="center"/>
    </xf>
    <xf numFmtId="4" fontId="13" fillId="0" borderId="173" xfId="4" applyNumberFormat="1" applyFont="1" applyBorder="1" applyAlignment="1">
      <alignment horizontal="right" vertical="center"/>
    </xf>
    <xf numFmtId="10" fontId="5" fillId="0" borderId="174" xfId="8" applyNumberFormat="1" applyFont="1" applyBorder="1" applyAlignment="1">
      <alignment horizontal="right" vertical="center"/>
    </xf>
    <xf numFmtId="49" fontId="89" fillId="0" borderId="175" xfId="4" applyNumberFormat="1" applyFont="1" applyBorder="1" applyAlignment="1">
      <alignment horizontal="center" vertical="center" wrapText="1"/>
    </xf>
    <xf numFmtId="3" fontId="89" fillId="0" borderId="175" xfId="4" applyNumberFormat="1" applyFont="1" applyBorder="1" applyAlignment="1">
      <alignment horizontal="right" vertical="center" wrapText="1"/>
    </xf>
    <xf numFmtId="4" fontId="5" fillId="0" borderId="175" xfId="4" applyNumberFormat="1" applyFont="1" applyBorder="1" applyAlignment="1">
      <alignment horizontal="right" vertical="center"/>
    </xf>
    <xf numFmtId="4" fontId="13" fillId="0" borderId="175" xfId="4" applyNumberFormat="1" applyFont="1" applyBorder="1" applyAlignment="1">
      <alignment horizontal="right" vertical="center"/>
    </xf>
    <xf numFmtId="4" fontId="13" fillId="0" borderId="176" xfId="4" applyNumberFormat="1" applyFont="1" applyBorder="1" applyAlignment="1">
      <alignment horizontal="right" vertical="center"/>
    </xf>
    <xf numFmtId="49" fontId="89" fillId="0" borderId="177" xfId="4" applyNumberFormat="1" applyFont="1" applyBorder="1" applyAlignment="1">
      <alignment horizontal="center" vertical="center" wrapText="1"/>
    </xf>
    <xf numFmtId="3" fontId="89" fillId="0" borderId="177" xfId="4" applyNumberFormat="1" applyFont="1" applyBorder="1" applyAlignment="1">
      <alignment horizontal="right" vertical="center" wrapText="1"/>
    </xf>
    <xf numFmtId="4" fontId="5" fillId="0" borderId="177" xfId="4" applyNumberFormat="1" applyFont="1" applyBorder="1" applyAlignment="1">
      <alignment horizontal="right" vertical="center"/>
    </xf>
    <xf numFmtId="4" fontId="13" fillId="0" borderId="177" xfId="4" applyNumberFormat="1" applyFont="1" applyBorder="1" applyAlignment="1">
      <alignment horizontal="right" vertical="center"/>
    </xf>
    <xf numFmtId="49" fontId="8" fillId="0" borderId="158" xfId="4" applyNumberFormat="1" applyFont="1" applyBorder="1" applyAlignment="1">
      <alignment horizontal="center" vertical="center" wrapText="1"/>
    </xf>
    <xf numFmtId="3" fontId="8" fillId="0" borderId="158" xfId="4" applyNumberFormat="1" applyFont="1" applyBorder="1" applyAlignment="1">
      <alignment horizontal="right" vertical="center" wrapText="1"/>
    </xf>
    <xf numFmtId="4" fontId="8" fillId="0" borderId="158" xfId="4" applyNumberFormat="1" applyFont="1" applyBorder="1" applyAlignment="1">
      <alignment horizontal="right" vertical="center"/>
    </xf>
    <xf numFmtId="4" fontId="8" fillId="0" borderId="159" xfId="4" applyNumberFormat="1" applyFont="1" applyBorder="1" applyAlignment="1">
      <alignment horizontal="right" vertical="center"/>
    </xf>
    <xf numFmtId="10" fontId="8" fillId="0" borderId="174" xfId="8" applyNumberFormat="1" applyFont="1" applyBorder="1" applyAlignment="1">
      <alignment horizontal="right" vertical="center"/>
    </xf>
    <xf numFmtId="4" fontId="8" fillId="3" borderId="40" xfId="4" applyNumberFormat="1" applyFont="1" applyFill="1" applyBorder="1" applyAlignment="1">
      <alignment horizontal="right" vertical="center"/>
    </xf>
    <xf numFmtId="49" fontId="51" fillId="5" borderId="1" xfId="4" applyNumberFormat="1" applyFont="1" applyFill="1" applyBorder="1" applyAlignment="1">
      <alignment horizontal="left" vertical="center" wrapText="1"/>
    </xf>
    <xf numFmtId="49" fontId="9" fillId="5" borderId="7" xfId="4" applyNumberFormat="1" applyFont="1" applyFill="1" applyBorder="1" applyAlignment="1">
      <alignment horizontal="center" vertical="center"/>
    </xf>
    <xf numFmtId="49" fontId="9" fillId="5" borderId="1" xfId="4" applyNumberFormat="1" applyFont="1" applyFill="1" applyBorder="1" applyAlignment="1">
      <alignment horizontal="left" vertical="center" wrapText="1"/>
    </xf>
    <xf numFmtId="3" fontId="9" fillId="5" borderId="1" xfId="4" applyNumberFormat="1" applyFont="1" applyFill="1" applyBorder="1" applyAlignment="1">
      <alignment horizontal="right" vertical="center" wrapText="1"/>
    </xf>
    <xf numFmtId="4" fontId="9" fillId="5" borderId="7" xfId="4" applyNumberFormat="1" applyFont="1" applyFill="1" applyBorder="1" applyAlignment="1">
      <alignment horizontal="right" vertical="center" wrapText="1"/>
    </xf>
    <xf numFmtId="4" fontId="9" fillId="5" borderId="1" xfId="4" applyNumberFormat="1" applyFont="1" applyFill="1" applyBorder="1" applyAlignment="1">
      <alignment horizontal="right" vertical="center" wrapText="1"/>
    </xf>
    <xf numFmtId="49" fontId="44" fillId="0" borderId="1" xfId="4" applyNumberFormat="1" applyFont="1" applyBorder="1" applyAlignment="1">
      <alignment horizontal="left" vertical="center" wrapText="1"/>
    </xf>
    <xf numFmtId="3" fontId="44" fillId="0" borderId="1" xfId="4" applyNumberFormat="1" applyFont="1" applyBorder="1" applyAlignment="1">
      <alignment horizontal="right" vertical="center" wrapText="1"/>
    </xf>
    <xf numFmtId="4" fontId="44" fillId="0" borderId="7" xfId="4" applyNumberFormat="1" applyFont="1" applyBorder="1" applyAlignment="1">
      <alignment vertical="center"/>
    </xf>
    <xf numFmtId="4" fontId="44" fillId="0" borderId="1" xfId="4" applyNumberFormat="1" applyFont="1" applyBorder="1" applyAlignment="1">
      <alignment horizontal="right" vertical="center"/>
    </xf>
    <xf numFmtId="4" fontId="44" fillId="0" borderId="7" xfId="4" applyNumberFormat="1" applyFont="1" applyBorder="1" applyAlignment="1">
      <alignment horizontal="right" vertical="center"/>
    </xf>
    <xf numFmtId="0" fontId="44" fillId="0" borderId="14" xfId="0" applyFont="1" applyBorder="1" applyAlignment="1">
      <alignment horizontal="left" vertical="top" wrapText="1"/>
    </xf>
    <xf numFmtId="49" fontId="44" fillId="6" borderId="7" xfId="4" applyNumberFormat="1" applyFont="1" applyFill="1" applyBorder="1" applyAlignment="1">
      <alignment vertical="center"/>
    </xf>
    <xf numFmtId="0" fontId="44" fillId="6" borderId="10" xfId="4" applyFont="1" applyFill="1" applyBorder="1" applyAlignment="1">
      <alignment horizontal="left" vertical="top" wrapText="1"/>
    </xf>
    <xf numFmtId="3" fontId="5" fillId="0" borderId="108" xfId="16" applyNumberFormat="1" applyFont="1" applyBorder="1" applyAlignment="1">
      <alignment horizontal="right" vertical="center"/>
    </xf>
    <xf numFmtId="4" fontId="5" fillId="0" borderId="108" xfId="16" applyNumberFormat="1" applyFont="1" applyBorder="1" applyAlignment="1">
      <alignment horizontal="right" vertical="center"/>
    </xf>
    <xf numFmtId="4" fontId="8" fillId="11" borderId="84" xfId="6" applyNumberFormat="1" applyFont="1" applyFill="1" applyBorder="1" applyAlignment="1" applyProtection="1">
      <alignment horizontal="right" vertical="center"/>
      <protection locked="0"/>
    </xf>
    <xf numFmtId="4" fontId="5" fillId="0" borderId="109" xfId="6" applyNumberFormat="1" applyFont="1" applyFill="1" applyBorder="1" applyAlignment="1" applyProtection="1">
      <alignment vertical="center"/>
      <protection locked="0"/>
    </xf>
    <xf numFmtId="4" fontId="5" fillId="0" borderId="109" xfId="7" applyNumberFormat="1" applyFont="1" applyBorder="1" applyAlignment="1">
      <alignment horizontal="right" vertical="center"/>
    </xf>
    <xf numFmtId="49" fontId="5" fillId="0" borderId="169" xfId="6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6" applyNumberFormat="1" applyFont="1" applyFill="1" applyBorder="1" applyAlignment="1" applyProtection="1">
      <alignment horizontal="right" vertical="center"/>
      <protection locked="0"/>
    </xf>
    <xf numFmtId="49" fontId="44" fillId="0" borderId="56" xfId="4" applyNumberFormat="1" applyFont="1" applyBorder="1" applyAlignment="1">
      <alignment horizontal="center" vertical="center"/>
    </xf>
    <xf numFmtId="49" fontId="44" fillId="0" borderId="56" xfId="4" applyNumberFormat="1" applyFont="1" applyBorder="1" applyAlignment="1">
      <alignment horizontal="center" vertical="center" wrapText="1"/>
    </xf>
    <xf numFmtId="49" fontId="44" fillId="0" borderId="69" xfId="4" applyNumberFormat="1" applyFont="1" applyBorder="1" applyAlignment="1">
      <alignment horizontal="center" vertical="center"/>
    </xf>
    <xf numFmtId="3" fontId="44" fillId="0" borderId="56" xfId="4" applyNumberFormat="1" applyFont="1" applyBorder="1" applyAlignment="1">
      <alignment horizontal="right" vertical="center" wrapText="1"/>
    </xf>
    <xf numFmtId="4" fontId="9" fillId="3" borderId="71" xfId="4" applyNumberFormat="1" applyFont="1" applyFill="1" applyBorder="1" applyAlignment="1">
      <alignment horizontal="right" vertical="center" wrapText="1"/>
    </xf>
    <xf numFmtId="49" fontId="44" fillId="0" borderId="45" xfId="4" applyNumberFormat="1" applyFont="1" applyBorder="1" applyAlignment="1">
      <alignment horizontal="center" vertical="center"/>
    </xf>
    <xf numFmtId="3" fontId="44" fillId="0" borderId="9" xfId="4" applyNumberFormat="1" applyFont="1" applyBorder="1" applyAlignment="1">
      <alignment horizontal="right" vertical="center" wrapText="1"/>
    </xf>
    <xf numFmtId="4" fontId="44" fillId="0" borderId="45" xfId="4" applyNumberFormat="1" applyFont="1" applyBorder="1" applyAlignment="1">
      <alignment horizontal="right" vertical="center" wrapText="1"/>
    </xf>
    <xf numFmtId="49" fontId="44" fillId="6" borderId="1" xfId="4" applyNumberFormat="1" applyFont="1" applyFill="1" applyBorder="1" applyAlignment="1">
      <alignment horizontal="center" vertical="center"/>
    </xf>
    <xf numFmtId="0" fontId="51" fillId="5" borderId="84" xfId="4" applyFont="1" applyFill="1" applyBorder="1" applyAlignment="1">
      <alignment horizontal="center" vertical="center"/>
    </xf>
    <xf numFmtId="0" fontId="51" fillId="5" borderId="84" xfId="4" applyFont="1" applyFill="1" applyBorder="1" applyAlignment="1">
      <alignment vertical="center" wrapText="1"/>
    </xf>
    <xf numFmtId="1" fontId="51" fillId="5" borderId="84" xfId="4" applyNumberFormat="1" applyFont="1" applyFill="1" applyBorder="1" applyAlignment="1">
      <alignment horizontal="center" vertical="center"/>
    </xf>
    <xf numFmtId="3" fontId="51" fillId="5" borderId="142" xfId="4" applyNumberFormat="1" applyFont="1" applyFill="1" applyBorder="1" applyAlignment="1">
      <alignment horizontal="right" vertical="center" wrapText="1"/>
    </xf>
    <xf numFmtId="4" fontId="51" fillId="5" borderId="84" xfId="4" applyNumberFormat="1" applyFont="1" applyFill="1" applyBorder="1" applyAlignment="1">
      <alignment horizontal="right" vertical="center" wrapText="1"/>
    </xf>
    <xf numFmtId="0" fontId="51" fillId="5" borderId="143" xfId="4" applyFont="1" applyFill="1" applyBorder="1" applyAlignment="1">
      <alignment horizontal="left" vertical="center"/>
    </xf>
    <xf numFmtId="4" fontId="44" fillId="0" borderId="103" xfId="4" applyNumberFormat="1" applyFont="1" applyBorder="1" applyAlignment="1">
      <alignment horizontal="right" vertical="center" wrapText="1"/>
    </xf>
    <xf numFmtId="49" fontId="8" fillId="17" borderId="142" xfId="6" applyNumberFormat="1" applyFont="1" applyFill="1" applyBorder="1" applyAlignment="1" applyProtection="1">
      <alignment horizontal="center" vertical="center" wrapText="1"/>
      <protection locked="0"/>
    </xf>
    <xf numFmtId="49" fontId="8" fillId="17" borderId="150" xfId="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7" applyFont="1" applyAlignment="1">
      <alignment horizontal="left" vertical="center" wrapText="1"/>
    </xf>
    <xf numFmtId="0" fontId="13" fillId="0" borderId="0" xfId="6" applyNumberFormat="1" applyFont="1" applyFill="1" applyBorder="1" applyAlignment="1" applyProtection="1">
      <alignment horizontal="left" vertical="center"/>
      <protection locked="0"/>
    </xf>
    <xf numFmtId="0" fontId="5" fillId="0" borderId="94" xfId="6" applyNumberFormat="1" applyFont="1" applyFill="1" applyBorder="1" applyAlignment="1" applyProtection="1">
      <alignment horizontal="left" vertical="center"/>
      <protection locked="0"/>
    </xf>
    <xf numFmtId="49" fontId="9" fillId="6" borderId="25" xfId="4" applyNumberFormat="1" applyFont="1" applyFill="1" applyBorder="1" applyAlignment="1">
      <alignment horizontal="center" vertical="center"/>
    </xf>
    <xf numFmtId="49" fontId="9" fillId="3" borderId="109" xfId="4" applyNumberFormat="1" applyFont="1" applyFill="1" applyBorder="1" applyAlignment="1">
      <alignment horizontal="center" vertical="center"/>
    </xf>
    <xf numFmtId="49" fontId="9" fillId="3" borderId="109" xfId="4" applyNumberFormat="1" applyFont="1" applyFill="1" applyBorder="1" applyAlignment="1">
      <alignment horizontal="left" vertical="center" wrapText="1"/>
    </xf>
    <xf numFmtId="49" fontId="9" fillId="3" borderId="168" xfId="4" applyNumberFormat="1" applyFont="1" applyFill="1" applyBorder="1" applyAlignment="1">
      <alignment horizontal="center" vertical="center"/>
    </xf>
    <xf numFmtId="3" fontId="9" fillId="3" borderId="162" xfId="4" applyNumberFormat="1" applyFont="1" applyFill="1" applyBorder="1" applyAlignment="1">
      <alignment horizontal="right" vertical="center" wrapText="1"/>
    </xf>
    <xf numFmtId="4" fontId="9" fillId="3" borderId="168" xfId="4" applyNumberFormat="1" applyFont="1" applyFill="1" applyBorder="1" applyAlignment="1">
      <alignment horizontal="right" vertical="center" wrapText="1"/>
    </xf>
    <xf numFmtId="3" fontId="9" fillId="3" borderId="109" xfId="4" applyNumberFormat="1" applyFont="1" applyFill="1" applyBorder="1" applyAlignment="1">
      <alignment horizontal="right" vertical="center" wrapText="1"/>
    </xf>
    <xf numFmtId="3" fontId="9" fillId="3" borderId="168" xfId="4" applyNumberFormat="1" applyFont="1" applyFill="1" applyBorder="1" applyAlignment="1">
      <alignment horizontal="right" vertical="center" wrapText="1"/>
    </xf>
    <xf numFmtId="4" fontId="9" fillId="3" borderId="162" xfId="4" applyNumberFormat="1" applyFont="1" applyFill="1" applyBorder="1" applyAlignment="1">
      <alignment horizontal="right" vertical="center" wrapText="1"/>
    </xf>
    <xf numFmtId="4" fontId="9" fillId="3" borderId="109" xfId="4" applyNumberFormat="1" applyFont="1" applyFill="1" applyBorder="1" applyAlignment="1">
      <alignment horizontal="right" vertical="center" wrapText="1"/>
    </xf>
    <xf numFmtId="49" fontId="44" fillId="0" borderId="118" xfId="4" applyNumberFormat="1" applyFont="1" applyBorder="1" applyAlignment="1">
      <alignment horizontal="center" vertical="center"/>
    </xf>
    <xf numFmtId="49" fontId="44" fillId="0" borderId="118" xfId="4" applyNumberFormat="1" applyFont="1" applyBorder="1" applyAlignment="1">
      <alignment horizontal="center" vertical="center" wrapText="1"/>
    </xf>
    <xf numFmtId="3" fontId="44" fillId="0" borderId="118" xfId="4" applyNumberFormat="1" applyFont="1" applyBorder="1" applyAlignment="1">
      <alignment horizontal="right" vertical="center" wrapText="1"/>
    </xf>
    <xf numFmtId="49" fontId="44" fillId="6" borderId="118" xfId="4" applyNumberFormat="1" applyFont="1" applyFill="1" applyBorder="1" applyAlignment="1">
      <alignment horizontal="center" vertical="center"/>
    </xf>
    <xf numFmtId="4" fontId="44" fillId="6" borderId="118" xfId="4" applyNumberFormat="1" applyFont="1" applyFill="1" applyBorder="1" applyAlignment="1">
      <alignment vertical="center"/>
    </xf>
    <xf numFmtId="4" fontId="31" fillId="0" borderId="0" xfId="6" applyNumberFormat="1" applyFont="1" applyFill="1" applyBorder="1" applyAlignment="1" applyProtection="1">
      <alignment horizontal="left" vertical="center"/>
      <protection locked="0"/>
    </xf>
    <xf numFmtId="10" fontId="5" fillId="0" borderId="109" xfId="1" applyNumberFormat="1" applyFont="1" applyFill="1" applyBorder="1" applyAlignment="1" applyProtection="1">
      <alignment horizontal="right" vertical="center"/>
      <protection locked="0"/>
    </xf>
    <xf numFmtId="4" fontId="85" fillId="10" borderId="7" xfId="6" applyNumberFormat="1" applyFont="1" applyFill="1" applyBorder="1" applyAlignment="1" applyProtection="1">
      <alignment horizontal="right" vertical="center"/>
      <protection locked="0"/>
    </xf>
    <xf numFmtId="4" fontId="31" fillId="0" borderId="109" xfId="6" applyNumberFormat="1" applyFont="1" applyFill="1" applyBorder="1" applyAlignment="1" applyProtection="1">
      <alignment horizontal="right" vertical="center"/>
      <protection locked="0"/>
    </xf>
    <xf numFmtId="4" fontId="31" fillId="6" borderId="118" xfId="6" applyNumberFormat="1" applyFont="1" applyFill="1" applyBorder="1" applyAlignment="1" applyProtection="1">
      <alignment horizontal="right" vertical="center"/>
      <protection locked="0"/>
    </xf>
    <xf numFmtId="49" fontId="5" fillId="0" borderId="147" xfId="2" applyNumberFormat="1" applyFont="1" applyBorder="1" applyAlignment="1">
      <alignment horizontal="center" vertical="center" wrapText="1"/>
    </xf>
    <xf numFmtId="0" fontId="31" fillId="6" borderId="147" xfId="4" applyFont="1" applyFill="1" applyBorder="1" applyAlignment="1">
      <alignment horizontal="left" vertical="center" wrapText="1"/>
    </xf>
    <xf numFmtId="49" fontId="31" fillId="0" borderId="178" xfId="6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2" quotePrefix="1" applyFont="1" applyBorder="1" applyAlignment="1">
      <alignment vertical="center" wrapText="1"/>
    </xf>
    <xf numFmtId="0" fontId="10" fillId="0" borderId="7" xfId="2" quotePrefix="1" applyFont="1" applyBorder="1" applyAlignment="1">
      <alignment vertical="center" wrapText="1"/>
    </xf>
    <xf numFmtId="49" fontId="5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44" fillId="6" borderId="109" xfId="4" applyNumberFormat="1" applyFont="1" applyFill="1" applyBorder="1" applyAlignment="1">
      <alignment horizontal="center" vertical="center"/>
    </xf>
    <xf numFmtId="4" fontId="46" fillId="0" borderId="7" xfId="4" applyNumberFormat="1" applyFont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9" fillId="2" borderId="84" xfId="2" applyFont="1" applyFill="1" applyBorder="1" applyAlignment="1">
      <alignment horizontal="center" vertical="center" wrapText="1"/>
    </xf>
    <xf numFmtId="0" fontId="9" fillId="2" borderId="143" xfId="2" applyFont="1" applyFill="1" applyBorder="1" applyAlignment="1">
      <alignment horizontal="center" vertical="center" wrapText="1"/>
    </xf>
    <xf numFmtId="0" fontId="9" fillId="2" borderId="142" xfId="2" applyFont="1" applyFill="1" applyBorder="1" applyAlignment="1">
      <alignment horizontal="center" vertical="center" wrapText="1"/>
    </xf>
    <xf numFmtId="10" fontId="9" fillId="2" borderId="84" xfId="2" applyNumberFormat="1" applyFont="1" applyFill="1" applyBorder="1" applyAlignment="1">
      <alignment horizontal="center" vertical="center"/>
    </xf>
    <xf numFmtId="3" fontId="8" fillId="2" borderId="84" xfId="2" applyNumberFormat="1" applyFont="1" applyFill="1" applyBorder="1" applyAlignment="1">
      <alignment horizontal="center" vertical="center"/>
    </xf>
    <xf numFmtId="3" fontId="8" fillId="2" borderId="142" xfId="2" applyNumberFormat="1" applyFont="1" applyFill="1" applyBorder="1" applyAlignment="1">
      <alignment horizontal="center" vertical="center"/>
    </xf>
    <xf numFmtId="0" fontId="8" fillId="3" borderId="84" xfId="2" quotePrefix="1" applyFont="1" applyFill="1" applyBorder="1" applyAlignment="1">
      <alignment horizontal="center" vertical="center" wrapText="1"/>
    </xf>
    <xf numFmtId="0" fontId="8" fillId="3" borderId="143" xfId="2" quotePrefix="1" applyFont="1" applyFill="1" applyBorder="1" applyAlignment="1">
      <alignment horizontal="center" vertical="center" wrapText="1"/>
    </xf>
    <xf numFmtId="0" fontId="8" fillId="3" borderId="142" xfId="2" applyFont="1" applyFill="1" applyBorder="1" applyAlignment="1">
      <alignment vertical="center" wrapText="1"/>
    </xf>
    <xf numFmtId="0" fontId="10" fillId="3" borderId="84" xfId="2" applyFont="1" applyFill="1" applyBorder="1" applyAlignment="1">
      <alignment vertical="center" wrapText="1"/>
    </xf>
    <xf numFmtId="3" fontId="34" fillId="3" borderId="178" xfId="2" applyNumberFormat="1" applyFont="1" applyFill="1" applyBorder="1" applyAlignment="1">
      <alignment horizontal="right" vertical="center"/>
    </xf>
    <xf numFmtId="3" fontId="11" fillId="3" borderId="178" xfId="2" applyNumberFormat="1" applyFont="1" applyFill="1" applyBorder="1" applyAlignment="1">
      <alignment horizontal="right" vertical="center"/>
    </xf>
    <xf numFmtId="10" fontId="11" fillId="3" borderId="178" xfId="1" applyNumberFormat="1" applyFont="1" applyFill="1" applyBorder="1" applyAlignment="1">
      <alignment horizontal="right" vertical="center"/>
    </xf>
    <xf numFmtId="0" fontId="10" fillId="0" borderId="178" xfId="2" quotePrefix="1" applyFont="1" applyBorder="1" applyAlignment="1">
      <alignment vertical="center" wrapText="1"/>
    </xf>
    <xf numFmtId="49" fontId="12" fillId="4" borderId="150" xfId="2" applyNumberFormat="1" applyFont="1" applyFill="1" applyBorder="1" applyAlignment="1">
      <alignment horizontal="center" vertical="center" wrapText="1"/>
    </xf>
    <xf numFmtId="0" fontId="12" fillId="4" borderId="142" xfId="2" applyFont="1" applyFill="1" applyBorder="1" applyAlignment="1">
      <alignment vertical="center" wrapText="1"/>
    </xf>
    <xf numFmtId="0" fontId="19" fillId="4" borderId="84" xfId="2" applyFont="1" applyFill="1" applyBorder="1" applyAlignment="1">
      <alignment vertical="center" wrapText="1"/>
    </xf>
    <xf numFmtId="3" fontId="35" fillId="4" borderId="84" xfId="2" applyNumberFormat="1" applyFont="1" applyFill="1" applyBorder="1" applyAlignment="1">
      <alignment horizontal="right" vertical="center"/>
    </xf>
    <xf numFmtId="3" fontId="8" fillId="4" borderId="84" xfId="2" applyNumberFormat="1" applyFont="1" applyFill="1" applyBorder="1" applyAlignment="1">
      <alignment horizontal="right" vertical="center"/>
    </xf>
    <xf numFmtId="4" fontId="8" fillId="4" borderId="142" xfId="2" applyNumberFormat="1" applyFont="1" applyFill="1" applyBorder="1" applyAlignment="1">
      <alignment horizontal="right" vertical="center"/>
    </xf>
    <xf numFmtId="0" fontId="15" fillId="5" borderId="178" xfId="2" applyFont="1" applyFill="1" applyBorder="1" applyAlignment="1">
      <alignment vertical="center" wrapText="1"/>
    </xf>
    <xf numFmtId="3" fontId="32" fillId="5" borderId="181" xfId="2" applyNumberFormat="1" applyFont="1" applyFill="1" applyBorder="1" applyAlignment="1">
      <alignment horizontal="right" vertical="center"/>
    </xf>
    <xf numFmtId="3" fontId="13" fillId="5" borderId="181" xfId="2" applyNumberFormat="1" applyFont="1" applyFill="1" applyBorder="1" applyAlignment="1">
      <alignment horizontal="right" vertical="center"/>
    </xf>
    <xf numFmtId="4" fontId="13" fillId="5" borderId="182" xfId="2" applyNumberFormat="1" applyFont="1" applyFill="1" applyBorder="1" applyAlignment="1">
      <alignment horizontal="right" vertical="center"/>
    </xf>
    <xf numFmtId="10" fontId="7" fillId="5" borderId="181" xfId="1" applyNumberFormat="1" applyFont="1" applyFill="1" applyBorder="1" applyAlignment="1">
      <alignment horizontal="right" vertical="center"/>
    </xf>
    <xf numFmtId="49" fontId="5" fillId="6" borderId="183" xfId="2" applyNumberFormat="1" applyFont="1" applyFill="1" applyBorder="1" applyAlignment="1">
      <alignment horizontal="center" vertical="center" wrapText="1"/>
    </xf>
    <xf numFmtId="3" fontId="36" fillId="0" borderId="183" xfId="3" applyNumberFormat="1" applyFont="1" applyFill="1" applyBorder="1" applyAlignment="1">
      <alignment horizontal="right" vertical="center"/>
    </xf>
    <xf numFmtId="3" fontId="5" fillId="0" borderId="183" xfId="2" applyNumberFormat="1" applyFont="1" applyBorder="1" applyAlignment="1">
      <alignment horizontal="right" vertical="center"/>
    </xf>
    <xf numFmtId="4" fontId="5" fillId="0" borderId="184" xfId="2" applyNumberFormat="1" applyFont="1" applyBorder="1" applyAlignment="1">
      <alignment horizontal="right" vertical="center"/>
    </xf>
    <xf numFmtId="10" fontId="14" fillId="0" borderId="183" xfId="1" applyNumberFormat="1" applyFont="1" applyFill="1" applyBorder="1" applyAlignment="1">
      <alignment horizontal="right" vertical="center"/>
    </xf>
    <xf numFmtId="49" fontId="5" fillId="6" borderId="181" xfId="2" applyNumberFormat="1" applyFont="1" applyFill="1" applyBorder="1" applyAlignment="1">
      <alignment horizontal="center" vertical="center" wrapText="1"/>
    </xf>
    <xf numFmtId="3" fontId="14" fillId="0" borderId="183" xfId="3" applyNumberFormat="1" applyFont="1" applyFill="1" applyBorder="1" applyAlignment="1">
      <alignment horizontal="right" vertical="center"/>
    </xf>
    <xf numFmtId="0" fontId="15" fillId="5" borderId="183" xfId="2" applyFont="1" applyFill="1" applyBorder="1" applyAlignment="1">
      <alignment vertical="center" wrapText="1"/>
    </xf>
    <xf numFmtId="3" fontId="33" fillId="5" borderId="183" xfId="2" applyNumberFormat="1" applyFont="1" applyFill="1" applyBorder="1" applyAlignment="1">
      <alignment horizontal="right" vertical="center"/>
    </xf>
    <xf numFmtId="4" fontId="33" fillId="5" borderId="183" xfId="2" applyNumberFormat="1" applyFont="1" applyFill="1" applyBorder="1" applyAlignment="1">
      <alignment horizontal="right" vertical="center"/>
    </xf>
    <xf numFmtId="10" fontId="22" fillId="5" borderId="183" xfId="1" applyNumberFormat="1" applyFont="1" applyFill="1" applyBorder="1" applyAlignment="1">
      <alignment horizontal="right" vertical="center"/>
    </xf>
    <xf numFmtId="49" fontId="5" fillId="0" borderId="181" xfId="2" applyNumberFormat="1" applyFont="1" applyBorder="1" applyAlignment="1">
      <alignment horizontal="center" vertical="center" wrapText="1"/>
    </xf>
    <xf numFmtId="10" fontId="11" fillId="0" borderId="147" xfId="1" applyNumberFormat="1" applyFont="1" applyFill="1" applyBorder="1" applyAlignment="1">
      <alignment horizontal="right" vertical="center"/>
    </xf>
    <xf numFmtId="0" fontId="12" fillId="4" borderId="84" xfId="2" applyFont="1" applyFill="1" applyBorder="1" applyAlignment="1">
      <alignment vertical="center" wrapText="1"/>
    </xf>
    <xf numFmtId="0" fontId="13" fillId="5" borderId="162" xfId="2" quotePrefix="1" applyFont="1" applyFill="1" applyBorder="1" applyAlignment="1">
      <alignment horizontal="left" vertical="center" wrapText="1"/>
    </xf>
    <xf numFmtId="3" fontId="7" fillId="5" borderId="162" xfId="2" applyNumberFormat="1" applyFont="1" applyFill="1" applyBorder="1" applyAlignment="1">
      <alignment horizontal="right" vertical="center"/>
    </xf>
    <xf numFmtId="4" fontId="7" fillId="5" borderId="164" xfId="2" applyNumberFormat="1" applyFont="1" applyFill="1" applyBorder="1" applyAlignment="1">
      <alignment horizontal="right" vertical="center"/>
    </xf>
    <xf numFmtId="0" fontId="5" fillId="0" borderId="128" xfId="2" quotePrefix="1" applyFont="1" applyBorder="1" applyAlignment="1">
      <alignment horizontal="left" vertical="center" wrapText="1"/>
    </xf>
    <xf numFmtId="0" fontId="5" fillId="6" borderId="183" xfId="2" quotePrefix="1" applyFont="1" applyFill="1" applyBorder="1" applyAlignment="1">
      <alignment horizontal="center" vertical="center" wrapText="1"/>
    </xf>
    <xf numFmtId="0" fontId="5" fillId="6" borderId="181" xfId="2" quotePrefix="1" applyFont="1" applyFill="1" applyBorder="1" applyAlignment="1">
      <alignment horizontal="center" vertical="center" wrapText="1"/>
    </xf>
    <xf numFmtId="0" fontId="13" fillId="5" borderId="118" xfId="2" quotePrefix="1" applyFont="1" applyFill="1" applyBorder="1" applyAlignment="1">
      <alignment horizontal="left" vertical="center" wrapText="1"/>
    </xf>
    <xf numFmtId="3" fontId="7" fillId="5" borderId="118" xfId="2" applyNumberFormat="1" applyFont="1" applyFill="1" applyBorder="1" applyAlignment="1">
      <alignment horizontal="right" vertical="center"/>
    </xf>
    <xf numFmtId="4" fontId="13" fillId="5" borderId="144" xfId="2" applyNumberFormat="1" applyFont="1" applyFill="1" applyBorder="1" applyAlignment="1">
      <alignment horizontal="right" vertical="center"/>
    </xf>
    <xf numFmtId="10" fontId="7" fillId="5" borderId="147" xfId="1" applyNumberFormat="1" applyFont="1" applyFill="1" applyBorder="1" applyAlignment="1">
      <alignment horizontal="right" vertical="center"/>
    </xf>
    <xf numFmtId="3" fontId="8" fillId="4" borderId="183" xfId="2" applyNumberFormat="1" applyFont="1" applyFill="1" applyBorder="1" applyAlignment="1">
      <alignment horizontal="right" vertical="center"/>
    </xf>
    <xf numFmtId="4" fontId="8" fillId="4" borderId="182" xfId="2" applyNumberFormat="1" applyFont="1" applyFill="1" applyBorder="1" applyAlignment="1">
      <alignment horizontal="right" vertical="center"/>
    </xf>
    <xf numFmtId="49" fontId="13" fillId="5" borderId="181" xfId="2" applyNumberFormat="1" applyFont="1" applyFill="1" applyBorder="1" applyAlignment="1">
      <alignment horizontal="left" vertical="center" wrapText="1"/>
    </xf>
    <xf numFmtId="3" fontId="7" fillId="5" borderId="178" xfId="2" applyNumberFormat="1" applyFont="1" applyFill="1" applyBorder="1" applyAlignment="1">
      <alignment horizontal="right" vertical="center"/>
    </xf>
    <xf numFmtId="0" fontId="5" fillId="0" borderId="128" xfId="2" applyFont="1" applyBorder="1" applyAlignment="1">
      <alignment vertical="center" wrapText="1"/>
    </xf>
    <xf numFmtId="49" fontId="5" fillId="0" borderId="183" xfId="2" applyNumberFormat="1" applyFont="1" applyBorder="1" applyAlignment="1">
      <alignment horizontal="center" vertical="center" wrapText="1"/>
    </xf>
    <xf numFmtId="0" fontId="5" fillId="0" borderId="185" xfId="2" applyFont="1" applyBorder="1" applyAlignment="1">
      <alignment vertical="center" wrapText="1"/>
    </xf>
    <xf numFmtId="3" fontId="14" fillId="0" borderId="181" xfId="3" applyNumberFormat="1" applyFont="1" applyFill="1" applyBorder="1" applyAlignment="1">
      <alignment horizontal="right" vertical="center"/>
    </xf>
    <xf numFmtId="10" fontId="11" fillId="0" borderId="183" xfId="1" applyNumberFormat="1" applyFont="1" applyFill="1" applyBorder="1" applyAlignment="1">
      <alignment horizontal="right" vertical="center"/>
    </xf>
    <xf numFmtId="49" fontId="13" fillId="5" borderId="118" xfId="2" applyNumberFormat="1" applyFont="1" applyFill="1" applyBorder="1" applyAlignment="1">
      <alignment horizontal="left" vertical="center" wrapText="1"/>
    </xf>
    <xf numFmtId="10" fontId="7" fillId="5" borderId="118" xfId="1" applyNumberFormat="1" applyFont="1" applyFill="1" applyBorder="1" applyAlignment="1">
      <alignment horizontal="right" vertical="center"/>
    </xf>
    <xf numFmtId="49" fontId="12" fillId="4" borderId="84" xfId="2" applyNumberFormat="1" applyFont="1" applyFill="1" applyBorder="1" applyAlignment="1">
      <alignment horizontal="center" vertical="center" wrapText="1"/>
    </xf>
    <xf numFmtId="3" fontId="34" fillId="4" borderId="84" xfId="2" applyNumberFormat="1" applyFont="1" applyFill="1" applyBorder="1" applyAlignment="1">
      <alignment horizontal="right" vertical="center"/>
    </xf>
    <xf numFmtId="0" fontId="15" fillId="5" borderId="183" xfId="2" quotePrefix="1" applyFont="1" applyFill="1" applyBorder="1" applyAlignment="1">
      <alignment horizontal="left" vertical="center" wrapText="1"/>
    </xf>
    <xf numFmtId="3" fontId="7" fillId="5" borderId="183" xfId="2" applyNumberFormat="1" applyFont="1" applyFill="1" applyBorder="1" applyAlignment="1">
      <alignment horizontal="right" vertical="center"/>
    </xf>
    <xf numFmtId="4" fontId="7" fillId="5" borderId="184" xfId="2" applyNumberFormat="1" applyFont="1" applyFill="1" applyBorder="1" applyAlignment="1">
      <alignment horizontal="right" vertical="center"/>
    </xf>
    <xf numFmtId="0" fontId="31" fillId="0" borderId="184" xfId="2" applyFont="1" applyBorder="1" applyAlignment="1">
      <alignment horizontal="left" vertical="center" wrapText="1"/>
    </xf>
    <xf numFmtId="49" fontId="5" fillId="0" borderId="183" xfId="2" quotePrefix="1" applyNumberFormat="1" applyFont="1" applyBorder="1" applyAlignment="1">
      <alignment horizontal="center" vertical="center" wrapText="1"/>
    </xf>
    <xf numFmtId="0" fontId="31" fillId="0" borderId="183" xfId="2" applyFont="1" applyBorder="1" applyAlignment="1">
      <alignment vertical="center" wrapText="1"/>
    </xf>
    <xf numFmtId="0" fontId="5" fillId="6" borderId="147" xfId="2" applyFont="1" applyFill="1" applyBorder="1" applyAlignment="1">
      <alignment horizontal="center" vertical="center" wrapText="1"/>
    </xf>
    <xf numFmtId="3" fontId="13" fillId="5" borderId="118" xfId="2" applyNumberFormat="1" applyFont="1" applyFill="1" applyBorder="1" applyAlignment="1">
      <alignment horizontal="right" vertical="center"/>
    </xf>
    <xf numFmtId="49" fontId="12" fillId="4" borderId="143" xfId="2" applyNumberFormat="1" applyFont="1" applyFill="1" applyBorder="1" applyAlignment="1">
      <alignment horizontal="center" vertical="center" wrapText="1"/>
    </xf>
    <xf numFmtId="3" fontId="34" fillId="4" borderId="178" xfId="2" applyNumberFormat="1" applyFont="1" applyFill="1" applyBorder="1" applyAlignment="1">
      <alignment horizontal="right" vertical="center"/>
    </xf>
    <xf numFmtId="3" fontId="11" fillId="4" borderId="178" xfId="2" applyNumberFormat="1" applyFont="1" applyFill="1" applyBorder="1" applyAlignment="1">
      <alignment horizontal="right" vertical="center"/>
    </xf>
    <xf numFmtId="0" fontId="15" fillId="5" borderId="162" xfId="2" quotePrefix="1" applyFont="1" applyFill="1" applyBorder="1" applyAlignment="1">
      <alignment horizontal="left" vertical="center" wrapText="1"/>
    </xf>
    <xf numFmtId="3" fontId="33" fillId="5" borderId="162" xfId="2" applyNumberFormat="1" applyFont="1" applyFill="1" applyBorder="1" applyAlignment="1">
      <alignment horizontal="right" vertical="center"/>
    </xf>
    <xf numFmtId="0" fontId="5" fillId="0" borderId="184" xfId="2" applyFont="1" applyBorder="1" applyAlignment="1">
      <alignment vertical="center" wrapText="1"/>
    </xf>
    <xf numFmtId="0" fontId="5" fillId="6" borderId="183" xfId="2" applyFont="1" applyFill="1" applyBorder="1" applyAlignment="1">
      <alignment horizontal="center" vertical="center" wrapText="1"/>
    </xf>
    <xf numFmtId="0" fontId="5" fillId="0" borderId="183" xfId="2" applyFont="1" applyBorder="1" applyAlignment="1">
      <alignment vertical="center" wrapText="1"/>
    </xf>
    <xf numFmtId="3" fontId="33" fillId="5" borderId="118" xfId="2" applyNumberFormat="1" applyFont="1" applyFill="1" applyBorder="1" applyAlignment="1">
      <alignment horizontal="right" vertical="center"/>
    </xf>
    <xf numFmtId="49" fontId="8" fillId="3" borderId="84" xfId="2" applyNumberFormat="1" applyFont="1" applyFill="1" applyBorder="1" applyAlignment="1">
      <alignment horizontal="center" vertical="center" wrapText="1"/>
    </xf>
    <xf numFmtId="49" fontId="8" fillId="3" borderId="143" xfId="2" applyNumberFormat="1" applyFont="1" applyFill="1" applyBorder="1" applyAlignment="1">
      <alignment horizontal="center" vertical="center" wrapText="1"/>
    </xf>
    <xf numFmtId="49" fontId="8" fillId="3" borderId="142" xfId="2" applyNumberFormat="1" applyFont="1" applyFill="1" applyBorder="1" applyAlignment="1">
      <alignment horizontal="left" vertical="center" wrapText="1"/>
    </xf>
    <xf numFmtId="49" fontId="8" fillId="3" borderId="84" xfId="2" applyNumberFormat="1" applyFont="1" applyFill="1" applyBorder="1" applyAlignment="1">
      <alignment horizontal="left" vertical="center" wrapText="1"/>
    </xf>
    <xf numFmtId="4" fontId="11" fillId="3" borderId="142" xfId="2" applyNumberFormat="1" applyFont="1" applyFill="1" applyBorder="1" applyAlignment="1">
      <alignment horizontal="right" vertical="center"/>
    </xf>
    <xf numFmtId="49" fontId="8" fillId="4" borderId="143" xfId="2" applyNumberFormat="1" applyFont="1" applyFill="1" applyBorder="1" applyAlignment="1">
      <alignment horizontal="center" vertical="center" wrapText="1"/>
    </xf>
    <xf numFmtId="0" fontId="8" fillId="4" borderId="142" xfId="2" applyFont="1" applyFill="1" applyBorder="1" applyAlignment="1">
      <alignment vertical="center" wrapText="1"/>
    </xf>
    <xf numFmtId="0" fontId="8" fillId="4" borderId="84" xfId="2" applyFont="1" applyFill="1" applyBorder="1" applyAlignment="1">
      <alignment vertical="center" wrapText="1"/>
    </xf>
    <xf numFmtId="0" fontId="13" fillId="5" borderId="178" xfId="2" quotePrefix="1" applyFont="1" applyFill="1" applyBorder="1" applyAlignment="1">
      <alignment horizontal="left" vertical="center" wrapText="1"/>
    </xf>
    <xf numFmtId="3" fontId="14" fillId="0" borderId="185" xfId="3" applyNumberFormat="1" applyFont="1" applyFill="1" applyBorder="1" applyAlignment="1">
      <alignment horizontal="right" vertical="center"/>
    </xf>
    <xf numFmtId="3" fontId="5" fillId="0" borderId="185" xfId="2" applyNumberFormat="1" applyFont="1" applyBorder="1" applyAlignment="1">
      <alignment horizontal="right" vertical="center"/>
    </xf>
    <xf numFmtId="10" fontId="14" fillId="0" borderId="181" xfId="1" applyNumberFormat="1" applyFont="1" applyFill="1" applyBorder="1" applyAlignment="1">
      <alignment horizontal="right" vertical="center"/>
    </xf>
    <xf numFmtId="0" fontId="5" fillId="6" borderId="184" xfId="2" quotePrefix="1" applyFont="1" applyFill="1" applyBorder="1" applyAlignment="1">
      <alignment vertical="center" wrapText="1"/>
    </xf>
    <xf numFmtId="0" fontId="13" fillId="5" borderId="181" xfId="2" quotePrefix="1" applyFont="1" applyFill="1" applyBorder="1" applyAlignment="1">
      <alignment horizontal="left" vertical="center" wrapText="1"/>
    </xf>
    <xf numFmtId="3" fontId="7" fillId="5" borderId="186" xfId="2" applyNumberFormat="1" applyFont="1" applyFill="1" applyBorder="1" applyAlignment="1">
      <alignment horizontal="right" vertical="center"/>
    </xf>
    <xf numFmtId="4" fontId="7" fillId="5" borderId="186" xfId="2" applyNumberFormat="1" applyFont="1" applyFill="1" applyBorder="1" applyAlignment="1">
      <alignment horizontal="right" vertical="center"/>
    </xf>
    <xf numFmtId="0" fontId="5" fillId="0" borderId="185" xfId="2" quotePrefix="1" applyFont="1" applyBorder="1" applyAlignment="1">
      <alignment horizontal="left" vertical="center" wrapText="1"/>
    </xf>
    <xf numFmtId="4" fontId="14" fillId="0" borderId="0" xfId="2" applyNumberFormat="1" applyFont="1" applyAlignment="1">
      <alignment horizontal="right" vertical="center"/>
    </xf>
    <xf numFmtId="0" fontId="5" fillId="0" borderId="180" xfId="2" quotePrefix="1" applyFont="1" applyBorder="1" applyAlignment="1">
      <alignment horizontal="left" vertical="center" wrapText="1"/>
    </xf>
    <xf numFmtId="4" fontId="14" fillId="0" borderId="180" xfId="2" applyNumberFormat="1" applyFont="1" applyBorder="1" applyAlignment="1">
      <alignment horizontal="right" vertical="center"/>
    </xf>
    <xf numFmtId="0" fontId="8" fillId="3" borderId="84" xfId="2" applyFont="1" applyFill="1" applyBorder="1" applyAlignment="1">
      <alignment horizontal="center" vertical="center" wrapText="1"/>
    </xf>
    <xf numFmtId="0" fontId="8" fillId="3" borderId="143" xfId="2" applyFont="1" applyFill="1" applyBorder="1" applyAlignment="1">
      <alignment horizontal="center" vertical="center" wrapText="1"/>
    </xf>
    <xf numFmtId="0" fontId="5" fillId="0" borderId="178" xfId="2" applyFont="1" applyBorder="1" applyAlignment="1">
      <alignment vertical="center" wrapText="1"/>
    </xf>
    <xf numFmtId="0" fontId="12" fillId="4" borderId="143" xfId="2" applyFont="1" applyFill="1" applyBorder="1" applyAlignment="1">
      <alignment horizontal="center" vertical="center" wrapText="1"/>
    </xf>
    <xf numFmtId="0" fontId="5" fillId="0" borderId="168" xfId="2" applyFont="1" applyBorder="1" applyAlignment="1">
      <alignment vertical="center"/>
    </xf>
    <xf numFmtId="49" fontId="5" fillId="6" borderId="181" xfId="2" applyNumberFormat="1" applyFont="1" applyFill="1" applyBorder="1" applyAlignment="1">
      <alignment horizontal="center" vertical="center"/>
    </xf>
    <xf numFmtId="3" fontId="36" fillId="0" borderId="181" xfId="3" applyNumberFormat="1" applyFont="1" applyFill="1" applyBorder="1" applyAlignment="1">
      <alignment horizontal="right" vertical="center"/>
    </xf>
    <xf numFmtId="49" fontId="5" fillId="6" borderId="183" xfId="2" applyNumberFormat="1" applyFont="1" applyFill="1" applyBorder="1" applyAlignment="1">
      <alignment horizontal="center" vertical="center"/>
    </xf>
    <xf numFmtId="0" fontId="5" fillId="6" borderId="182" xfId="2" applyFont="1" applyFill="1" applyBorder="1" applyAlignment="1">
      <alignment horizontal="left" vertical="center" wrapText="1"/>
    </xf>
    <xf numFmtId="3" fontId="5" fillId="0" borderId="181" xfId="2" applyNumberFormat="1" applyFont="1" applyBorder="1" applyAlignment="1">
      <alignment horizontal="right" vertical="center"/>
    </xf>
    <xf numFmtId="4" fontId="5" fillId="0" borderId="182" xfId="2" applyNumberFormat="1" applyFont="1" applyBorder="1" applyAlignment="1">
      <alignment horizontal="right" vertical="center"/>
    </xf>
    <xf numFmtId="0" fontId="5" fillId="0" borderId="182" xfId="2" applyFont="1" applyBorder="1" applyAlignment="1">
      <alignment vertical="center" wrapText="1"/>
    </xf>
    <xf numFmtId="0" fontId="13" fillId="5" borderId="183" xfId="2" applyFont="1" applyFill="1" applyBorder="1" applyAlignment="1">
      <alignment horizontal="left" vertical="center" wrapText="1"/>
    </xf>
    <xf numFmtId="3" fontId="5" fillId="5" borderId="183" xfId="2" applyNumberFormat="1" applyFont="1" applyFill="1" applyBorder="1" applyAlignment="1">
      <alignment horizontal="right" vertical="center"/>
    </xf>
    <xf numFmtId="4" fontId="5" fillId="5" borderId="184" xfId="2" applyNumberFormat="1" applyFont="1" applyFill="1" applyBorder="1" applyAlignment="1">
      <alignment horizontal="right" vertical="center"/>
    </xf>
    <xf numFmtId="10" fontId="7" fillId="5" borderId="183" xfId="1" applyNumberFormat="1" applyFont="1" applyFill="1" applyBorder="1" applyAlignment="1">
      <alignment horizontal="right" vertical="center"/>
    </xf>
    <xf numFmtId="0" fontId="13" fillId="0" borderId="105" xfId="2" applyFont="1" applyBorder="1" applyAlignment="1">
      <alignment horizontal="center" vertical="center" wrapText="1"/>
    </xf>
    <xf numFmtId="4" fontId="7" fillId="5" borderId="162" xfId="2" applyNumberFormat="1" applyFont="1" applyFill="1" applyBorder="1" applyAlignment="1">
      <alignment horizontal="right" vertical="center"/>
    </xf>
    <xf numFmtId="10" fontId="22" fillId="5" borderId="181" xfId="1" applyNumberFormat="1" applyFont="1" applyFill="1" applyBorder="1" applyAlignment="1">
      <alignment horizontal="right" vertical="center"/>
    </xf>
    <xf numFmtId="3" fontId="14" fillId="0" borderId="181" xfId="2" applyNumberFormat="1" applyFont="1" applyBorder="1" applyAlignment="1">
      <alignment horizontal="right" vertical="center"/>
    </xf>
    <xf numFmtId="4" fontId="14" fillId="0" borderId="182" xfId="2" applyNumberFormat="1" applyFont="1" applyBorder="1" applyAlignment="1">
      <alignment horizontal="right" vertical="center"/>
    </xf>
    <xf numFmtId="0" fontId="13" fillId="6" borderId="7" xfId="2" applyFont="1" applyFill="1" applyBorder="1" applyAlignment="1">
      <alignment horizontal="center" vertical="center" wrapText="1"/>
    </xf>
    <xf numFmtId="49" fontId="5" fillId="6" borderId="118" xfId="2" applyNumberFormat="1" applyFont="1" applyFill="1" applyBorder="1" applyAlignment="1">
      <alignment horizontal="center" vertical="center" wrapText="1"/>
    </xf>
    <xf numFmtId="10" fontId="7" fillId="0" borderId="118" xfId="1" applyNumberFormat="1" applyFont="1" applyFill="1" applyBorder="1" applyAlignment="1">
      <alignment horizontal="right" vertical="center"/>
    </xf>
    <xf numFmtId="0" fontId="16" fillId="0" borderId="178" xfId="2" applyFont="1" applyBorder="1" applyAlignment="1">
      <alignment vertical="center" wrapText="1"/>
    </xf>
    <xf numFmtId="0" fontId="15" fillId="5" borderId="162" xfId="2" applyFont="1" applyFill="1" applyBorder="1" applyAlignment="1">
      <alignment horizontal="left" vertical="center" wrapText="1"/>
    </xf>
    <xf numFmtId="4" fontId="33" fillId="5" borderId="162" xfId="2" applyNumberFormat="1" applyFont="1" applyFill="1" applyBorder="1" applyAlignment="1">
      <alignment horizontal="right" vertical="center"/>
    </xf>
    <xf numFmtId="10" fontId="7" fillId="5" borderId="162" xfId="1" applyNumberFormat="1" applyFont="1" applyFill="1" applyBorder="1" applyAlignment="1">
      <alignment horizontal="right" vertical="center"/>
    </xf>
    <xf numFmtId="0" fontId="15" fillId="0" borderId="147" xfId="2" applyFont="1" applyBorder="1" applyAlignment="1">
      <alignment vertical="center" wrapText="1"/>
    </xf>
    <xf numFmtId="0" fontId="5" fillId="0" borderId="183" xfId="2" applyFont="1" applyBorder="1" applyAlignment="1">
      <alignment horizontal="left" vertical="center" wrapText="1"/>
    </xf>
    <xf numFmtId="0" fontId="5" fillId="0" borderId="183" xfId="2" applyFont="1" applyBorder="1" applyAlignment="1">
      <alignment horizontal="center" vertical="center" wrapText="1"/>
    </xf>
    <xf numFmtId="0" fontId="5" fillId="0" borderId="181" xfId="2" applyFont="1" applyBorder="1" applyAlignment="1">
      <alignment horizontal="left" vertical="center" wrapText="1"/>
    </xf>
    <xf numFmtId="0" fontId="5" fillId="6" borderId="181" xfId="2" applyFont="1" applyFill="1" applyBorder="1" applyAlignment="1">
      <alignment horizontal="center" vertical="center" wrapText="1"/>
    </xf>
    <xf numFmtId="3" fontId="14" fillId="0" borderId="184" xfId="3" applyNumberFormat="1" applyFont="1" applyFill="1" applyBorder="1" applyAlignment="1">
      <alignment horizontal="right" vertical="center"/>
    </xf>
    <xf numFmtId="0" fontId="5" fillId="0" borderId="183" xfId="2" quotePrefix="1" applyFont="1" applyBorder="1" applyAlignment="1">
      <alignment horizontal="left" vertical="center" wrapText="1"/>
    </xf>
    <xf numFmtId="0" fontId="5" fillId="0" borderId="168" xfId="2" applyFont="1" applyBorder="1" applyAlignment="1">
      <alignment vertical="center" wrapText="1"/>
    </xf>
    <xf numFmtId="10" fontId="33" fillId="5" borderId="181" xfId="1" applyNumberFormat="1" applyFont="1" applyFill="1" applyBorder="1" applyAlignment="1">
      <alignment horizontal="right" vertical="center"/>
    </xf>
    <xf numFmtId="0" fontId="5" fillId="0" borderId="94" xfId="2" applyFont="1" applyBorder="1" applyAlignment="1">
      <alignment horizontal="left" vertical="center" wrapText="1"/>
    </xf>
    <xf numFmtId="49" fontId="5" fillId="6" borderId="183" xfId="2" quotePrefix="1" applyNumberFormat="1" applyFont="1" applyFill="1" applyBorder="1" applyAlignment="1">
      <alignment horizontal="center" vertical="center" wrapText="1"/>
    </xf>
    <xf numFmtId="49" fontId="5" fillId="6" borderId="147" xfId="2" quotePrefix="1" applyNumberFormat="1" applyFont="1" applyFill="1" applyBorder="1" applyAlignment="1">
      <alignment horizontal="center" vertical="center" wrapText="1"/>
    </xf>
    <xf numFmtId="3" fontId="14" fillId="6" borderId="183" xfId="3" applyNumberFormat="1" applyFont="1" applyFill="1" applyBorder="1" applyAlignment="1">
      <alignment horizontal="right" vertical="center"/>
    </xf>
    <xf numFmtId="0" fontId="85" fillId="4" borderId="143" xfId="2" applyFont="1" applyFill="1" applyBorder="1" applyAlignment="1">
      <alignment horizontal="center" vertical="center" wrapText="1"/>
    </xf>
    <xf numFmtId="0" fontId="85" fillId="4" borderId="142" xfId="2" applyFont="1" applyFill="1" applyBorder="1" applyAlignment="1">
      <alignment vertical="center" wrapText="1"/>
    </xf>
    <xf numFmtId="0" fontId="85" fillId="4" borderId="84" xfId="2" applyFont="1" applyFill="1" applyBorder="1" applyAlignment="1">
      <alignment vertical="center" wrapText="1"/>
    </xf>
    <xf numFmtId="10" fontId="34" fillId="4" borderId="84" xfId="1" applyNumberFormat="1" applyFont="1" applyFill="1" applyBorder="1" applyAlignment="1">
      <alignment horizontal="right" vertical="center"/>
    </xf>
    <xf numFmtId="0" fontId="32" fillId="5" borderId="162" xfId="2" quotePrefix="1" applyFont="1" applyFill="1" applyBorder="1" applyAlignment="1">
      <alignment horizontal="left" vertical="center" wrapText="1"/>
    </xf>
    <xf numFmtId="3" fontId="33" fillId="5" borderId="163" xfId="2" applyNumberFormat="1" applyFont="1" applyFill="1" applyBorder="1" applyAlignment="1">
      <alignment horizontal="right" vertical="center"/>
    </xf>
    <xf numFmtId="4" fontId="33" fillId="5" borderId="163" xfId="2" applyNumberFormat="1" applyFont="1" applyFill="1" applyBorder="1" applyAlignment="1">
      <alignment horizontal="right" vertical="center"/>
    </xf>
    <xf numFmtId="49" fontId="31" fillId="0" borderId="183" xfId="2" quotePrefix="1" applyNumberFormat="1" applyFont="1" applyBorder="1" applyAlignment="1">
      <alignment horizontal="center" vertical="center" wrapText="1"/>
    </xf>
    <xf numFmtId="3" fontId="36" fillId="0" borderId="128" xfId="2" applyNumberFormat="1" applyFont="1" applyBorder="1" applyAlignment="1">
      <alignment horizontal="right" vertical="center"/>
    </xf>
    <xf numFmtId="3" fontId="36" fillId="0" borderId="183" xfId="2" applyNumberFormat="1" applyFont="1" applyBorder="1" applyAlignment="1">
      <alignment horizontal="right" vertical="center"/>
    </xf>
    <xf numFmtId="4" fontId="31" fillId="0" borderId="128" xfId="2" applyNumberFormat="1" applyFont="1" applyBorder="1" applyAlignment="1">
      <alignment horizontal="right" vertical="center"/>
    </xf>
    <xf numFmtId="10" fontId="34" fillId="0" borderId="183" xfId="1" applyNumberFormat="1" applyFont="1" applyFill="1" applyBorder="1" applyAlignment="1">
      <alignment horizontal="right" vertical="center"/>
    </xf>
    <xf numFmtId="3" fontId="36" fillId="0" borderId="128" xfId="3" applyNumberFormat="1" applyFont="1" applyFill="1" applyBorder="1" applyAlignment="1">
      <alignment horizontal="right" vertical="center"/>
    </xf>
    <xf numFmtId="3" fontId="31" fillId="0" borderId="183" xfId="2" applyNumberFormat="1" applyFont="1" applyBorder="1" applyAlignment="1">
      <alignment horizontal="right" vertical="center"/>
    </xf>
    <xf numFmtId="49" fontId="31" fillId="6" borderId="183" xfId="2" quotePrefix="1" applyNumberFormat="1" applyFont="1" applyFill="1" applyBorder="1" applyAlignment="1">
      <alignment horizontal="center" vertical="center" wrapText="1"/>
    </xf>
    <xf numFmtId="10" fontId="36" fillId="0" borderId="183" xfId="1" applyNumberFormat="1" applyFont="1" applyFill="1" applyBorder="1" applyAlignment="1">
      <alignment horizontal="right" vertical="center"/>
    </xf>
    <xf numFmtId="49" fontId="31" fillId="6" borderId="183" xfId="2" applyNumberFormat="1" applyFont="1" applyFill="1" applyBorder="1" applyAlignment="1">
      <alignment horizontal="center" vertical="center" wrapText="1"/>
    </xf>
    <xf numFmtId="0" fontId="31" fillId="0" borderId="168" xfId="2" applyFont="1" applyBorder="1" applyAlignment="1">
      <alignment horizontal="left" vertical="center" wrapText="1"/>
    </xf>
    <xf numFmtId="3" fontId="36" fillId="0" borderId="168" xfId="3" applyNumberFormat="1" applyFont="1" applyFill="1" applyBorder="1" applyAlignment="1">
      <alignment horizontal="right" vertical="center"/>
    </xf>
    <xf numFmtId="0" fontId="31" fillId="6" borderId="128" xfId="2" applyFont="1" applyFill="1" applyBorder="1" applyAlignment="1">
      <alignment horizontal="left" vertical="center" wrapText="1"/>
    </xf>
    <xf numFmtId="49" fontId="31" fillId="6" borderId="181" xfId="2" applyNumberFormat="1" applyFont="1" applyFill="1" applyBorder="1" applyAlignment="1">
      <alignment horizontal="center" vertical="center" wrapText="1"/>
    </xf>
    <xf numFmtId="0" fontId="31" fillId="0" borderId="7" xfId="2" applyFont="1" applyBorder="1" applyAlignment="1">
      <alignment vertical="center" wrapText="1"/>
    </xf>
    <xf numFmtId="0" fontId="91" fillId="6" borderId="7" xfId="2" applyFont="1" applyFill="1" applyBorder="1" applyAlignment="1">
      <alignment vertical="center" wrapText="1"/>
    </xf>
    <xf numFmtId="0" fontId="31" fillId="6" borderId="180" xfId="2" applyFont="1" applyFill="1" applyBorder="1" applyAlignment="1">
      <alignment horizontal="left" vertical="center" wrapText="1"/>
    </xf>
    <xf numFmtId="49" fontId="31" fillId="6" borderId="7" xfId="2" applyNumberFormat="1" applyFont="1" applyFill="1" applyBorder="1" applyAlignment="1">
      <alignment horizontal="center" vertical="center" wrapText="1"/>
    </xf>
    <xf numFmtId="3" fontId="36" fillId="0" borderId="1" xfId="3" applyNumberFormat="1" applyFont="1" applyFill="1" applyBorder="1" applyAlignment="1">
      <alignment horizontal="right" vertical="center"/>
    </xf>
    <xf numFmtId="3" fontId="31" fillId="0" borderId="118" xfId="2" applyNumberFormat="1" applyFont="1" applyBorder="1" applyAlignment="1">
      <alignment horizontal="right" vertical="center"/>
    </xf>
    <xf numFmtId="4" fontId="31" fillId="0" borderId="180" xfId="2" applyNumberFormat="1" applyFont="1" applyBorder="1" applyAlignment="1">
      <alignment horizontal="right" vertical="center"/>
    </xf>
    <xf numFmtId="10" fontId="36" fillId="0" borderId="118" xfId="1" applyNumberFormat="1" applyFont="1" applyFill="1" applyBorder="1" applyAlignment="1">
      <alignment horizontal="right" vertical="center"/>
    </xf>
    <xf numFmtId="0" fontId="31" fillId="0" borderId="178" xfId="2" applyFont="1" applyBorder="1" applyAlignment="1">
      <alignment vertical="center" wrapText="1"/>
    </xf>
    <xf numFmtId="0" fontId="32" fillId="5" borderId="178" xfId="2" quotePrefix="1" applyFont="1" applyFill="1" applyBorder="1" applyAlignment="1">
      <alignment horizontal="left" vertical="center" wrapText="1"/>
    </xf>
    <xf numFmtId="4" fontId="33" fillId="5" borderId="164" xfId="2" applyNumberFormat="1" applyFont="1" applyFill="1" applyBorder="1" applyAlignment="1">
      <alignment horizontal="right" vertical="center"/>
    </xf>
    <xf numFmtId="10" fontId="33" fillId="5" borderId="162" xfId="1" applyNumberFormat="1" applyFont="1" applyFill="1" applyBorder="1" applyAlignment="1">
      <alignment horizontal="right" vertical="center"/>
    </xf>
    <xf numFmtId="0" fontId="32" fillId="0" borderId="157" xfId="2" applyFont="1" applyBorder="1" applyAlignment="1">
      <alignment horizontal="left" vertical="center" wrapText="1"/>
    </xf>
    <xf numFmtId="0" fontId="31" fillId="6" borderId="183" xfId="2" quotePrefix="1" applyFont="1" applyFill="1" applyBorder="1" applyAlignment="1">
      <alignment horizontal="left" vertical="center" wrapText="1"/>
    </xf>
    <xf numFmtId="3" fontId="36" fillId="0" borderId="168" xfId="2" applyNumberFormat="1" applyFont="1" applyBorder="1" applyAlignment="1">
      <alignment horizontal="right" vertical="center"/>
    </xf>
    <xf numFmtId="0" fontId="31" fillId="6" borderId="184" xfId="2" quotePrefix="1" applyFont="1" applyFill="1" applyBorder="1" applyAlignment="1">
      <alignment horizontal="left" vertical="center" wrapText="1"/>
    </xf>
    <xf numFmtId="3" fontId="31" fillId="6" borderId="183" xfId="2" applyNumberFormat="1" applyFont="1" applyFill="1" applyBorder="1" applyAlignment="1">
      <alignment horizontal="right" vertical="center"/>
    </xf>
    <xf numFmtId="4" fontId="31" fillId="6" borderId="128" xfId="2" applyNumberFormat="1" applyFont="1" applyFill="1" applyBorder="1" applyAlignment="1">
      <alignment horizontal="right" vertical="center"/>
    </xf>
    <xf numFmtId="0" fontId="31" fillId="6" borderId="184" xfId="2" applyFont="1" applyFill="1" applyBorder="1" applyAlignment="1">
      <alignment vertical="center" wrapText="1"/>
    </xf>
    <xf numFmtId="0" fontId="31" fillId="6" borderId="168" xfId="2" quotePrefix="1" applyFont="1" applyFill="1" applyBorder="1" applyAlignment="1">
      <alignment vertical="center" wrapText="1"/>
    </xf>
    <xf numFmtId="3" fontId="31" fillId="6" borderId="181" xfId="2" applyNumberFormat="1" applyFont="1" applyFill="1" applyBorder="1" applyAlignment="1">
      <alignment horizontal="right" vertical="center"/>
    </xf>
    <xf numFmtId="4" fontId="31" fillId="6" borderId="168" xfId="2" applyNumberFormat="1" applyFont="1" applyFill="1" applyBorder="1" applyAlignment="1">
      <alignment horizontal="right" vertical="center"/>
    </xf>
    <xf numFmtId="10" fontId="11" fillId="6" borderId="181" xfId="1" applyNumberFormat="1" applyFont="1" applyFill="1" applyBorder="1" applyAlignment="1">
      <alignment horizontal="right" vertical="center"/>
    </xf>
    <xf numFmtId="49" fontId="31" fillId="6" borderId="181" xfId="2" quotePrefix="1" applyNumberFormat="1" applyFont="1" applyFill="1" applyBorder="1" applyAlignment="1">
      <alignment horizontal="center" vertical="center" wrapText="1"/>
    </xf>
    <xf numFmtId="10" fontId="11" fillId="6" borderId="183" xfId="1" applyNumberFormat="1" applyFont="1" applyFill="1" applyBorder="1" applyAlignment="1">
      <alignment horizontal="right" vertical="center"/>
    </xf>
    <xf numFmtId="0" fontId="31" fillId="6" borderId="183" xfId="2" applyFont="1" applyFill="1" applyBorder="1" applyAlignment="1">
      <alignment vertical="center" wrapText="1"/>
    </xf>
    <xf numFmtId="0" fontId="31" fillId="6" borderId="147" xfId="2" applyFont="1" applyFill="1" applyBorder="1" applyAlignment="1">
      <alignment horizontal="center" vertical="center" wrapText="1"/>
    </xf>
    <xf numFmtId="10" fontId="14" fillId="6" borderId="183" xfId="1" applyNumberFormat="1" applyFont="1" applyFill="1" applyBorder="1" applyAlignment="1">
      <alignment horizontal="right" vertical="center"/>
    </xf>
    <xf numFmtId="0" fontId="31" fillId="6" borderId="181" xfId="2" applyFont="1" applyFill="1" applyBorder="1" applyAlignment="1">
      <alignment vertical="center" wrapText="1"/>
    </xf>
    <xf numFmtId="0" fontId="31" fillId="6" borderId="183" xfId="2" applyFont="1" applyFill="1" applyBorder="1" applyAlignment="1">
      <alignment horizontal="center" vertical="center" wrapText="1"/>
    </xf>
    <xf numFmtId="0" fontId="16" fillId="0" borderId="7" xfId="2" applyFont="1" applyBorder="1" applyAlignment="1">
      <alignment vertical="center" wrapText="1"/>
    </xf>
    <xf numFmtId="0" fontId="31" fillId="6" borderId="1" xfId="2" applyFont="1" applyFill="1" applyBorder="1" applyAlignment="1">
      <alignment vertical="center" wrapText="1"/>
    </xf>
    <xf numFmtId="0" fontId="31" fillId="6" borderId="118" xfId="2" applyFont="1" applyFill="1" applyBorder="1" applyAlignment="1">
      <alignment horizontal="center" vertical="center" wrapText="1"/>
    </xf>
    <xf numFmtId="3" fontId="36" fillId="0" borderId="180" xfId="3" applyNumberFormat="1" applyFont="1" applyFill="1" applyBorder="1" applyAlignment="1">
      <alignment horizontal="right" vertical="center"/>
    </xf>
    <xf numFmtId="3" fontId="31" fillId="6" borderId="118" xfId="2" applyNumberFormat="1" applyFont="1" applyFill="1" applyBorder="1" applyAlignment="1">
      <alignment horizontal="right" vertical="center"/>
    </xf>
    <xf numFmtId="4" fontId="31" fillId="6" borderId="180" xfId="2" applyNumberFormat="1" applyFont="1" applyFill="1" applyBorder="1" applyAlignment="1">
      <alignment horizontal="right" vertical="center"/>
    </xf>
    <xf numFmtId="10" fontId="14" fillId="6" borderId="118" xfId="1" applyNumberFormat="1" applyFont="1" applyFill="1" applyBorder="1" applyAlignment="1">
      <alignment horizontal="right" vertical="center"/>
    </xf>
    <xf numFmtId="0" fontId="12" fillId="4" borderId="150" xfId="2" applyFont="1" applyFill="1" applyBorder="1" applyAlignment="1">
      <alignment horizontal="center" vertical="center" wrapText="1"/>
    </xf>
    <xf numFmtId="0" fontId="12" fillId="4" borderId="142" xfId="2" applyFont="1" applyFill="1" applyBorder="1" applyAlignment="1">
      <alignment horizontal="left" vertical="center" wrapText="1"/>
    </xf>
    <xf numFmtId="0" fontId="5" fillId="4" borderId="84" xfId="2" quotePrefix="1" applyFont="1" applyFill="1" applyBorder="1" applyAlignment="1">
      <alignment horizontal="center" vertical="center" wrapText="1"/>
    </xf>
    <xf numFmtId="0" fontId="5" fillId="5" borderId="178" xfId="2" quotePrefix="1" applyFont="1" applyFill="1" applyBorder="1" applyAlignment="1">
      <alignment horizontal="center" vertical="center" wrapText="1"/>
    </xf>
    <xf numFmtId="0" fontId="15" fillId="6" borderId="147" xfId="2" applyFont="1" applyFill="1" applyBorder="1" applyAlignment="1">
      <alignment vertical="center" wrapText="1"/>
    </xf>
    <xf numFmtId="0" fontId="5" fillId="0" borderId="184" xfId="2" applyFont="1" applyBorder="1" applyAlignment="1">
      <alignment horizontal="left" vertical="center" wrapText="1"/>
    </xf>
    <xf numFmtId="0" fontId="5" fillId="0" borderId="182" xfId="2" applyFont="1" applyBorder="1" applyAlignment="1">
      <alignment horizontal="left" vertical="center" wrapText="1"/>
    </xf>
    <xf numFmtId="0" fontId="5" fillId="5" borderId="118" xfId="2" quotePrefix="1" applyFont="1" applyFill="1" applyBorder="1" applyAlignment="1">
      <alignment horizontal="center" vertical="center" wrapText="1"/>
    </xf>
    <xf numFmtId="4" fontId="11" fillId="3" borderId="84" xfId="2" applyNumberFormat="1" applyFont="1" applyFill="1" applyBorder="1" applyAlignment="1">
      <alignment horizontal="right" vertical="center"/>
    </xf>
    <xf numFmtId="0" fontId="25" fillId="0" borderId="147" xfId="2" applyFont="1" applyBorder="1" applyAlignment="1">
      <alignment vertical="center" wrapText="1"/>
    </xf>
    <xf numFmtId="0" fontId="5" fillId="6" borderId="182" xfId="2" applyFont="1" applyFill="1" applyBorder="1" applyAlignment="1">
      <alignment vertical="center" wrapText="1"/>
    </xf>
    <xf numFmtId="0" fontId="25" fillId="0" borderId="178" xfId="2" applyFont="1" applyBorder="1" applyAlignment="1">
      <alignment vertical="center" wrapText="1"/>
    </xf>
    <xf numFmtId="3" fontId="7" fillId="5" borderId="181" xfId="2" applyNumberFormat="1" applyFont="1" applyFill="1" applyBorder="1" applyAlignment="1">
      <alignment horizontal="right" vertical="center"/>
    </xf>
    <xf numFmtId="4" fontId="7" fillId="5" borderId="182" xfId="2" applyNumberFormat="1" applyFont="1" applyFill="1" applyBorder="1" applyAlignment="1">
      <alignment horizontal="right" vertical="center"/>
    </xf>
    <xf numFmtId="3" fontId="5" fillId="6" borderId="183" xfId="2" applyNumberFormat="1" applyFont="1" applyFill="1" applyBorder="1" applyAlignment="1">
      <alignment horizontal="right" vertical="center"/>
    </xf>
    <xf numFmtId="4" fontId="5" fillId="6" borderId="184" xfId="2" applyNumberFormat="1" applyFont="1" applyFill="1" applyBorder="1" applyAlignment="1">
      <alignment horizontal="right" vertical="center"/>
    </xf>
    <xf numFmtId="0" fontId="5" fillId="6" borderId="144" xfId="2" applyFont="1" applyFill="1" applyBorder="1" applyAlignment="1">
      <alignment vertical="center" wrapText="1"/>
    </xf>
    <xf numFmtId="0" fontId="5" fillId="6" borderId="164" xfId="2" applyFont="1" applyFill="1" applyBorder="1" applyAlignment="1">
      <alignment vertical="center" wrapText="1"/>
    </xf>
    <xf numFmtId="3" fontId="14" fillId="0" borderId="162" xfId="3" applyNumberFormat="1" applyFont="1" applyFill="1" applyBorder="1" applyAlignment="1">
      <alignment horizontal="right" vertical="center"/>
    </xf>
    <xf numFmtId="3" fontId="5" fillId="0" borderId="162" xfId="2" applyNumberFormat="1" applyFont="1" applyBorder="1" applyAlignment="1">
      <alignment horizontal="right" vertical="center"/>
    </xf>
    <xf numFmtId="4" fontId="5" fillId="0" borderId="164" xfId="2" applyNumberFormat="1" applyFont="1" applyBorder="1" applyAlignment="1">
      <alignment horizontal="right" vertical="center"/>
    </xf>
    <xf numFmtId="10" fontId="14" fillId="0" borderId="162" xfId="1" applyNumberFormat="1" applyFont="1" applyFill="1" applyBorder="1" applyAlignment="1">
      <alignment horizontal="right" vertical="center"/>
    </xf>
    <xf numFmtId="0" fontId="25" fillId="0" borderId="181" xfId="2" applyFont="1" applyBorder="1" applyAlignment="1">
      <alignment vertical="center" wrapText="1"/>
    </xf>
    <xf numFmtId="0" fontId="5" fillId="6" borderId="184" xfId="2" applyFont="1" applyFill="1" applyBorder="1" applyAlignment="1">
      <alignment vertical="center" wrapText="1"/>
    </xf>
    <xf numFmtId="10" fontId="17" fillId="0" borderId="183" xfId="1" applyNumberFormat="1" applyFont="1" applyFill="1" applyBorder="1" applyAlignment="1">
      <alignment horizontal="right" vertical="center"/>
    </xf>
    <xf numFmtId="4" fontId="7" fillId="5" borderId="181" xfId="2" applyNumberFormat="1" applyFont="1" applyFill="1" applyBorder="1" applyAlignment="1">
      <alignment horizontal="right" vertical="center"/>
    </xf>
    <xf numFmtId="0" fontId="5" fillId="0" borderId="180" xfId="2" applyFont="1" applyBorder="1" applyAlignment="1">
      <alignment horizontal="left" vertical="center" wrapText="1"/>
    </xf>
    <xf numFmtId="3" fontId="5" fillId="6" borderId="118" xfId="2" applyNumberFormat="1" applyFont="1" applyFill="1" applyBorder="1" applyAlignment="1">
      <alignment horizontal="right" vertical="center"/>
    </xf>
    <xf numFmtId="4" fontId="5" fillId="6" borderId="144" xfId="2" applyNumberFormat="1" applyFont="1" applyFill="1" applyBorder="1" applyAlignment="1">
      <alignment horizontal="right" vertical="center"/>
    </xf>
    <xf numFmtId="0" fontId="12" fillId="0" borderId="147" xfId="2" applyFont="1" applyBorder="1" applyAlignment="1">
      <alignment vertical="center" wrapText="1"/>
    </xf>
    <xf numFmtId="0" fontId="12" fillId="0" borderId="14" xfId="2" applyFont="1" applyBorder="1" applyAlignment="1">
      <alignment vertical="center" wrapText="1"/>
    </xf>
    <xf numFmtId="0" fontId="20" fillId="0" borderId="14" xfId="2" applyFont="1" applyBorder="1" applyAlignment="1">
      <alignment vertical="center" wrapText="1"/>
    </xf>
    <xf numFmtId="0" fontId="75" fillId="3" borderId="84" xfId="2" applyFont="1" applyFill="1" applyBorder="1" applyAlignment="1">
      <alignment horizontal="center" vertical="center" wrapText="1"/>
    </xf>
    <xf numFmtId="0" fontId="78" fillId="3" borderId="142" xfId="2" applyFont="1" applyFill="1" applyBorder="1" applyAlignment="1">
      <alignment vertical="center" wrapText="1"/>
    </xf>
    <xf numFmtId="0" fontId="25" fillId="3" borderId="84" xfId="2" applyFont="1" applyFill="1" applyBorder="1" applyAlignment="1">
      <alignment vertical="center" wrapText="1"/>
    </xf>
    <xf numFmtId="0" fontId="20" fillId="0" borderId="178" xfId="2" applyFont="1" applyBorder="1" applyAlignment="1">
      <alignment vertical="center" wrapText="1"/>
    </xf>
    <xf numFmtId="0" fontId="76" fillId="0" borderId="183" xfId="2" applyFont="1" applyBorder="1" applyAlignment="1">
      <alignment horizontal="center" vertical="center" wrapText="1"/>
    </xf>
    <xf numFmtId="0" fontId="77" fillId="0" borderId="128" xfId="2" applyFont="1" applyBorder="1" applyAlignment="1">
      <alignment vertical="center" wrapText="1"/>
    </xf>
    <xf numFmtId="3" fontId="13" fillId="5" borderId="183" xfId="2" applyNumberFormat="1" applyFont="1" applyFill="1" applyBorder="1" applyAlignment="1">
      <alignment horizontal="right" vertical="center"/>
    </xf>
    <xf numFmtId="4" fontId="13" fillId="5" borderId="157" xfId="2" applyNumberFormat="1" applyFont="1" applyFill="1" applyBorder="1" applyAlignment="1">
      <alignment horizontal="right" vertical="center"/>
    </xf>
    <xf numFmtId="0" fontId="76" fillId="0" borderId="181" xfId="2" applyFont="1" applyBorder="1" applyAlignment="1">
      <alignment horizontal="center" vertical="center" wrapText="1"/>
    </xf>
    <xf numFmtId="0" fontId="12" fillId="4" borderId="142" xfId="2" applyFont="1" applyFill="1" applyBorder="1" applyAlignment="1">
      <alignment horizontal="center" vertical="center" wrapText="1"/>
    </xf>
    <xf numFmtId="0" fontId="15" fillId="5" borderId="181" xfId="2" quotePrefix="1" applyFont="1" applyFill="1" applyBorder="1" applyAlignment="1">
      <alignment horizontal="left" vertical="center" wrapText="1"/>
    </xf>
    <xf numFmtId="3" fontId="33" fillId="5" borderId="178" xfId="2" applyNumberFormat="1" applyFont="1" applyFill="1" applyBorder="1" applyAlignment="1">
      <alignment horizontal="right" vertical="center"/>
    </xf>
    <xf numFmtId="0" fontId="12" fillId="0" borderId="7" xfId="2" applyFont="1" applyBorder="1" applyAlignment="1">
      <alignment vertical="center" wrapText="1"/>
    </xf>
    <xf numFmtId="3" fontId="13" fillId="5" borderId="147" xfId="2" applyNumberFormat="1" applyFont="1" applyFill="1" applyBorder="1" applyAlignment="1">
      <alignment horizontal="right" vertical="center"/>
    </xf>
    <xf numFmtId="0" fontId="12" fillId="0" borderId="162" xfId="2" applyFont="1" applyBorder="1" applyAlignment="1">
      <alignment vertical="center" wrapText="1"/>
    </xf>
    <xf numFmtId="0" fontId="5" fillId="0" borderId="164" xfId="2" applyFont="1" applyBorder="1" applyAlignment="1">
      <alignment vertical="center" wrapText="1"/>
    </xf>
    <xf numFmtId="49" fontId="5" fillId="0" borderId="162" xfId="2" applyNumberFormat="1" applyFont="1" applyBorder="1" applyAlignment="1">
      <alignment horizontal="center" vertical="center" wrapText="1"/>
    </xf>
    <xf numFmtId="3" fontId="36" fillId="0" borderId="162" xfId="3" applyNumberFormat="1" applyFont="1" applyFill="1" applyBorder="1" applyAlignment="1">
      <alignment horizontal="right" vertical="center"/>
    </xf>
    <xf numFmtId="49" fontId="13" fillId="5" borderId="118" xfId="2" applyNumberFormat="1" applyFont="1" applyFill="1" applyBorder="1" applyAlignment="1">
      <alignment vertical="center" wrapText="1"/>
    </xf>
    <xf numFmtId="10" fontId="11" fillId="5" borderId="118" xfId="1" applyNumberFormat="1" applyFont="1" applyFill="1" applyBorder="1" applyAlignment="1">
      <alignment horizontal="right" vertical="center"/>
    </xf>
    <xf numFmtId="0" fontId="8" fillId="3" borderId="150" xfId="2" applyFont="1" applyFill="1" applyBorder="1" applyAlignment="1">
      <alignment vertical="center" wrapText="1"/>
    </xf>
    <xf numFmtId="0" fontId="8" fillId="3" borderId="84" xfId="2" applyFont="1" applyFill="1" applyBorder="1" applyAlignment="1">
      <alignment horizontal="left" vertical="center" wrapText="1"/>
    </xf>
    <xf numFmtId="3" fontId="36" fillId="0" borderId="7" xfId="3" applyNumberFormat="1" applyFont="1" applyFill="1" applyBorder="1" applyAlignment="1">
      <alignment horizontal="right" vertical="center"/>
    </xf>
    <xf numFmtId="4" fontId="5" fillId="0" borderId="8" xfId="2" applyNumberFormat="1" applyFont="1" applyBorder="1" applyAlignment="1">
      <alignment horizontal="right" vertical="center"/>
    </xf>
    <xf numFmtId="0" fontId="5" fillId="0" borderId="144" xfId="2" applyFont="1" applyBorder="1" applyAlignment="1">
      <alignment vertical="center" wrapText="1"/>
    </xf>
    <xf numFmtId="3" fontId="31" fillId="0" borderId="181" xfId="2" applyNumberFormat="1" applyFont="1" applyBorder="1" applyAlignment="1">
      <alignment horizontal="right" vertical="center"/>
    </xf>
    <xf numFmtId="10" fontId="36" fillId="0" borderId="181" xfId="1" applyNumberFormat="1" applyFont="1" applyFill="1" applyBorder="1" applyAlignment="1">
      <alignment horizontal="right" vertical="center"/>
    </xf>
    <xf numFmtId="3" fontId="14" fillId="0" borderId="185" xfId="2" applyNumberFormat="1" applyFont="1" applyBorder="1" applyAlignment="1">
      <alignment horizontal="right" vertical="center"/>
    </xf>
    <xf numFmtId="3" fontId="14" fillId="0" borderId="183" xfId="2" applyNumberFormat="1" applyFont="1" applyBorder="1" applyAlignment="1">
      <alignment horizontal="right" vertical="center"/>
    </xf>
    <xf numFmtId="4" fontId="31" fillId="0" borderId="183" xfId="2" applyNumberFormat="1" applyFont="1" applyBorder="1" applyAlignment="1">
      <alignment horizontal="right" vertical="center"/>
    </xf>
    <xf numFmtId="10" fontId="18" fillId="0" borderId="183" xfId="1" applyNumberFormat="1" applyFont="1" applyFill="1" applyBorder="1" applyAlignment="1">
      <alignment horizontal="right" vertical="center"/>
    </xf>
    <xf numFmtId="4" fontId="5" fillId="0" borderId="183" xfId="2" applyNumberFormat="1" applyFont="1" applyBorder="1" applyAlignment="1">
      <alignment horizontal="right" vertical="center"/>
    </xf>
    <xf numFmtId="4" fontId="31" fillId="0" borderId="118" xfId="2" applyNumberFormat="1" applyFont="1" applyBorder="1" applyAlignment="1">
      <alignment horizontal="right" vertical="center"/>
    </xf>
    <xf numFmtId="0" fontId="15" fillId="0" borderId="178" xfId="2" applyFont="1" applyBorder="1" applyAlignment="1">
      <alignment vertical="center" wrapText="1"/>
    </xf>
    <xf numFmtId="3" fontId="31" fillId="0" borderId="162" xfId="2" applyNumberFormat="1" applyFont="1" applyBorder="1" applyAlignment="1">
      <alignment horizontal="right" vertical="center"/>
    </xf>
    <xf numFmtId="4" fontId="7" fillId="5" borderId="183" xfId="2" applyNumberFormat="1" applyFont="1" applyFill="1" applyBorder="1" applyAlignment="1">
      <alignment horizontal="right" vertical="center"/>
    </xf>
    <xf numFmtId="3" fontId="7" fillId="0" borderId="185" xfId="2" applyNumberFormat="1" applyFont="1" applyBorder="1" applyAlignment="1">
      <alignment horizontal="right" vertical="center"/>
    </xf>
    <xf numFmtId="0" fontId="5" fillId="0" borderId="184" xfId="2" quotePrefix="1" applyFont="1" applyBorder="1" applyAlignment="1">
      <alignment horizontal="left" vertical="center" wrapText="1"/>
    </xf>
    <xf numFmtId="0" fontId="32" fillId="5" borderId="181" xfId="2" quotePrefix="1" applyFont="1" applyFill="1" applyBorder="1" applyAlignment="1">
      <alignment horizontal="left" vertical="center" wrapText="1"/>
    </xf>
    <xf numFmtId="0" fontId="31" fillId="0" borderId="128" xfId="2" applyFont="1" applyBorder="1" applyAlignment="1">
      <alignment vertical="center" wrapText="1"/>
    </xf>
    <xf numFmtId="4" fontId="31" fillId="0" borderId="184" xfId="2" applyNumberFormat="1" applyFont="1" applyBorder="1" applyAlignment="1">
      <alignment horizontal="right" vertical="center"/>
    </xf>
    <xf numFmtId="0" fontId="31" fillId="0" borderId="0" xfId="2" applyFont="1" applyAlignment="1">
      <alignment vertical="center" wrapText="1"/>
    </xf>
    <xf numFmtId="4" fontId="31" fillId="6" borderId="184" xfId="2" applyNumberFormat="1" applyFont="1" applyFill="1" applyBorder="1" applyAlignment="1">
      <alignment horizontal="right" vertical="center"/>
    </xf>
    <xf numFmtId="0" fontId="32" fillId="5" borderId="118" xfId="2" quotePrefix="1" applyFont="1" applyFill="1" applyBorder="1" applyAlignment="1">
      <alignment horizontal="left" vertical="center" wrapText="1"/>
    </xf>
    <xf numFmtId="4" fontId="32" fillId="5" borderId="144" xfId="2" applyNumberFormat="1" applyFont="1" applyFill="1" applyBorder="1" applyAlignment="1">
      <alignment horizontal="right" vertical="center"/>
    </xf>
    <xf numFmtId="10" fontId="33" fillId="5" borderId="118" xfId="1" applyNumberFormat="1" applyFont="1" applyFill="1" applyBorder="1" applyAlignment="1">
      <alignment horizontal="right" vertical="center"/>
    </xf>
    <xf numFmtId="0" fontId="85" fillId="4" borderId="84" xfId="2" applyFont="1" applyFill="1" applyBorder="1" applyAlignment="1">
      <alignment horizontal="center" vertical="center" wrapText="1"/>
    </xf>
    <xf numFmtId="0" fontId="85" fillId="4" borderId="150" xfId="2" quotePrefix="1" applyFont="1" applyFill="1" applyBorder="1" applyAlignment="1">
      <alignment horizontal="left" vertical="center" wrapText="1"/>
    </xf>
    <xf numFmtId="0" fontId="32" fillId="4" borderId="84" xfId="2" quotePrefix="1" applyFont="1" applyFill="1" applyBorder="1" applyAlignment="1">
      <alignment horizontal="left" vertical="center" wrapText="1"/>
    </xf>
    <xf numFmtId="0" fontId="32" fillId="0" borderId="147" xfId="2" applyFont="1" applyBorder="1" applyAlignment="1">
      <alignment vertical="center" wrapText="1"/>
    </xf>
    <xf numFmtId="3" fontId="33" fillId="0" borderId="183" xfId="3" applyNumberFormat="1" applyFont="1" applyFill="1" applyBorder="1" applyAlignment="1">
      <alignment horizontal="right" vertical="center"/>
    </xf>
    <xf numFmtId="0" fontId="1" fillId="0" borderId="181" xfId="0" applyFont="1" applyBorder="1" applyAlignment="1">
      <alignment vertical="center" wrapText="1"/>
    </xf>
    <xf numFmtId="0" fontId="31" fillId="6" borderId="181" xfId="2" quotePrefix="1" applyFont="1" applyFill="1" applyBorder="1" applyAlignment="1">
      <alignment vertical="center" wrapText="1"/>
    </xf>
    <xf numFmtId="10" fontId="34" fillId="0" borderId="181" xfId="1" applyNumberFormat="1" applyFont="1" applyFill="1" applyBorder="1" applyAlignment="1">
      <alignment horizontal="right" vertical="center"/>
    </xf>
    <xf numFmtId="0" fontId="95" fillId="0" borderId="7" xfId="2" applyFont="1" applyBorder="1" applyAlignment="1">
      <alignment vertical="center" wrapText="1"/>
    </xf>
    <xf numFmtId="0" fontId="5" fillId="6" borderId="182" xfId="2" quotePrefix="1" applyFont="1" applyFill="1" applyBorder="1" applyAlignment="1">
      <alignment horizontal="left" vertical="center" wrapText="1"/>
    </xf>
    <xf numFmtId="0" fontId="95" fillId="0" borderId="178" xfId="2" applyFont="1" applyBorder="1" applyAlignment="1">
      <alignment vertical="center" wrapText="1"/>
    </xf>
    <xf numFmtId="0" fontId="85" fillId="4" borderId="142" xfId="2" quotePrefix="1" applyFont="1" applyFill="1" applyBorder="1" applyAlignment="1">
      <alignment horizontal="left" vertical="center" wrapText="1"/>
    </xf>
    <xf numFmtId="4" fontId="34" fillId="4" borderId="142" xfId="2" applyNumberFormat="1" applyFont="1" applyFill="1" applyBorder="1" applyAlignment="1">
      <alignment horizontal="right" vertical="center"/>
    </xf>
    <xf numFmtId="0" fontId="85" fillId="6" borderId="147" xfId="2" applyFont="1" applyFill="1" applyBorder="1" applyAlignment="1">
      <alignment horizontal="center" vertical="center" wrapText="1"/>
    </xf>
    <xf numFmtId="0" fontId="31" fillId="0" borderId="0" xfId="2" quotePrefix="1" applyFont="1" applyAlignment="1">
      <alignment horizontal="left" vertical="center" wrapText="1"/>
    </xf>
    <xf numFmtId="0" fontId="31" fillId="6" borderId="147" xfId="2" quotePrefix="1" applyFont="1" applyFill="1" applyBorder="1" applyAlignment="1">
      <alignment horizontal="center" vertical="center" wrapText="1"/>
    </xf>
    <xf numFmtId="0" fontId="12" fillId="4" borderId="84" xfId="2" applyFont="1" applyFill="1" applyBorder="1" applyAlignment="1">
      <alignment horizontal="center" vertical="center" wrapText="1"/>
    </xf>
    <xf numFmtId="0" fontId="5" fillId="6" borderId="183" xfId="2" applyFont="1" applyFill="1" applyBorder="1" applyAlignment="1">
      <alignment vertical="center" wrapText="1"/>
    </xf>
    <xf numFmtId="0" fontId="5" fillId="6" borderId="1" xfId="2" applyFont="1" applyFill="1" applyBorder="1" applyAlignment="1">
      <alignment vertical="center" wrapText="1"/>
    </xf>
    <xf numFmtId="0" fontId="5" fillId="0" borderId="7" xfId="2" quotePrefix="1" applyFont="1" applyBorder="1" applyAlignment="1">
      <alignment horizontal="center" vertical="center" wrapText="1"/>
    </xf>
    <xf numFmtId="0" fontId="5" fillId="6" borderId="164" xfId="2" quotePrefix="1" applyFont="1" applyFill="1" applyBorder="1" applyAlignment="1">
      <alignment horizontal="left" vertical="center" wrapText="1"/>
    </xf>
    <xf numFmtId="0" fontId="5" fillId="6" borderId="184" xfId="2" quotePrefix="1" applyFont="1" applyFill="1" applyBorder="1" applyAlignment="1">
      <alignment horizontal="left" vertical="center" wrapText="1"/>
    </xf>
    <xf numFmtId="0" fontId="5" fillId="6" borderId="144" xfId="2" quotePrefix="1" applyFont="1" applyFill="1" applyBorder="1" applyAlignment="1">
      <alignment horizontal="left" vertical="center" wrapText="1"/>
    </xf>
    <xf numFmtId="3" fontId="36" fillId="0" borderId="118" xfId="3" applyNumberFormat="1" applyFont="1" applyFill="1" applyBorder="1" applyAlignment="1">
      <alignment horizontal="right" vertical="center"/>
    </xf>
    <xf numFmtId="10" fontId="17" fillId="0" borderId="7" xfId="1" applyNumberFormat="1" applyFont="1" applyFill="1" applyBorder="1" applyAlignment="1">
      <alignment horizontal="right" vertical="center"/>
    </xf>
    <xf numFmtId="0" fontId="5" fillId="6" borderId="4" xfId="2" quotePrefix="1" applyFont="1" applyFill="1" applyBorder="1" applyAlignment="1">
      <alignment vertical="center" wrapText="1"/>
    </xf>
    <xf numFmtId="0" fontId="5" fillId="6" borderId="128" xfId="2" quotePrefix="1" applyFont="1" applyFill="1" applyBorder="1" applyAlignment="1">
      <alignment vertical="center" wrapText="1"/>
    </xf>
    <xf numFmtId="0" fontId="15" fillId="0" borderId="181" xfId="2" applyFont="1" applyBorder="1" applyAlignment="1">
      <alignment vertical="center" wrapText="1"/>
    </xf>
    <xf numFmtId="4" fontId="5" fillId="5" borderId="183" xfId="2" applyNumberFormat="1" applyFont="1" applyFill="1" applyBorder="1" applyAlignment="1">
      <alignment horizontal="right" vertical="center"/>
    </xf>
    <xf numFmtId="0" fontId="5" fillId="6" borderId="0" xfId="2" quotePrefix="1" applyFont="1" applyFill="1" applyAlignment="1">
      <alignment horizontal="left" vertical="center" wrapText="1"/>
    </xf>
    <xf numFmtId="0" fontId="5" fillId="6" borderId="183" xfId="2" quotePrefix="1" applyFont="1" applyFill="1" applyBorder="1" applyAlignment="1">
      <alignment horizontal="left" vertical="center" wrapText="1"/>
    </xf>
    <xf numFmtId="0" fontId="5" fillId="6" borderId="8" xfId="2" quotePrefix="1" applyFont="1" applyFill="1" applyBorder="1" applyAlignment="1">
      <alignment horizontal="left" vertical="center" wrapText="1"/>
    </xf>
    <xf numFmtId="0" fontId="15" fillId="6" borderId="178" xfId="2" applyFont="1" applyFill="1" applyBorder="1" applyAlignment="1">
      <alignment vertical="center" wrapText="1"/>
    </xf>
    <xf numFmtId="0" fontId="5" fillId="6" borderId="164" xfId="2" quotePrefix="1" applyFont="1" applyFill="1" applyBorder="1" applyAlignment="1">
      <alignment vertical="center" wrapText="1"/>
    </xf>
    <xf numFmtId="0" fontId="5" fillId="0" borderId="162" xfId="2" quotePrefix="1" applyFont="1" applyBorder="1" applyAlignment="1">
      <alignment horizontal="center" vertical="center" wrapText="1"/>
    </xf>
    <xf numFmtId="0" fontId="13" fillId="5" borderId="162" xfId="2" applyFont="1" applyFill="1" applyBorder="1" applyAlignment="1">
      <alignment horizontal="left" vertical="center" wrapText="1"/>
    </xf>
    <xf numFmtId="0" fontId="5" fillId="0" borderId="128" xfId="2" applyFont="1" applyBorder="1" applyAlignment="1">
      <alignment horizontal="left" vertical="center" wrapText="1"/>
    </xf>
    <xf numFmtId="0" fontId="31" fillId="0" borderId="1" xfId="2" applyFont="1" applyBorder="1" applyAlignment="1">
      <alignment vertical="center" wrapText="1"/>
    </xf>
    <xf numFmtId="0" fontId="5" fillId="0" borderId="163" xfId="2" applyFont="1" applyBorder="1" applyAlignment="1">
      <alignment vertical="center" wrapText="1"/>
    </xf>
    <xf numFmtId="49" fontId="5" fillId="6" borderId="162" xfId="2" applyNumberFormat="1" applyFont="1" applyFill="1" applyBorder="1" applyAlignment="1">
      <alignment horizontal="center" vertical="center" wrapText="1"/>
    </xf>
    <xf numFmtId="0" fontId="15" fillId="6" borderId="181" xfId="2" applyFont="1" applyFill="1" applyBorder="1" applyAlignment="1">
      <alignment vertical="center" wrapText="1"/>
    </xf>
    <xf numFmtId="0" fontId="13" fillId="5" borderId="181" xfId="2" applyFont="1" applyFill="1" applyBorder="1" applyAlignment="1">
      <alignment horizontal="left" vertical="center" wrapText="1"/>
    </xf>
    <xf numFmtId="4" fontId="11" fillId="3" borderId="178" xfId="2" applyNumberFormat="1" applyFont="1" applyFill="1" applyBorder="1" applyAlignment="1">
      <alignment horizontal="right" vertical="center"/>
    </xf>
    <xf numFmtId="0" fontId="5" fillId="6" borderId="178" xfId="4" applyFont="1" applyFill="1" applyBorder="1" applyAlignment="1">
      <alignment vertical="center" wrapText="1"/>
    </xf>
    <xf numFmtId="0" fontId="12" fillId="4" borderId="143" xfId="4" applyFont="1" applyFill="1" applyBorder="1" applyAlignment="1">
      <alignment horizontal="center" vertical="center" wrapText="1"/>
    </xf>
    <xf numFmtId="0" fontId="13" fillId="5" borderId="181" xfId="4" applyFont="1" applyFill="1" applyBorder="1" applyAlignment="1">
      <alignment horizontal="left" vertical="center" wrapText="1"/>
    </xf>
    <xf numFmtId="0" fontId="12" fillId="6" borderId="185" xfId="4" applyFont="1" applyFill="1" applyBorder="1" applyAlignment="1">
      <alignment horizontal="center" vertical="center" wrapText="1"/>
    </xf>
    <xf numFmtId="0" fontId="5" fillId="0" borderId="128" xfId="4" applyFont="1" applyBorder="1" applyAlignment="1">
      <alignment vertical="center" wrapText="1"/>
    </xf>
    <xf numFmtId="0" fontId="5" fillId="6" borderId="183" xfId="4" applyFont="1" applyFill="1" applyBorder="1" applyAlignment="1">
      <alignment horizontal="center" vertical="center" wrapText="1"/>
    </xf>
    <xf numFmtId="0" fontId="13" fillId="5" borderId="118" xfId="4" applyFont="1" applyFill="1" applyBorder="1" applyAlignment="1">
      <alignment horizontal="left" vertical="center" wrapText="1"/>
    </xf>
    <xf numFmtId="0" fontId="13" fillId="5" borderId="162" xfId="4" applyFont="1" applyFill="1" applyBorder="1" applyAlignment="1">
      <alignment horizontal="left" vertical="center" wrapText="1"/>
    </xf>
    <xf numFmtId="10" fontId="11" fillId="5" borderId="181" xfId="1" applyNumberFormat="1" applyFont="1" applyFill="1" applyBorder="1" applyAlignment="1">
      <alignment horizontal="right" vertical="center"/>
    </xf>
    <xf numFmtId="4" fontId="14" fillId="0" borderId="181" xfId="2" applyNumberFormat="1" applyFont="1" applyBorder="1" applyAlignment="1">
      <alignment horizontal="right" vertical="center"/>
    </xf>
    <xf numFmtId="0" fontId="5" fillId="0" borderId="182" xfId="4" quotePrefix="1" applyFont="1" applyBorder="1" applyAlignment="1">
      <alignment horizontal="left" vertical="center" wrapText="1"/>
    </xf>
    <xf numFmtId="0" fontId="5" fillId="0" borderId="181" xfId="4" applyFont="1" applyBorder="1" applyAlignment="1">
      <alignment horizontal="center" vertical="center" wrapText="1"/>
    </xf>
    <xf numFmtId="0" fontId="5" fillId="5" borderId="181" xfId="4" applyFont="1" applyFill="1" applyBorder="1" applyAlignment="1">
      <alignment horizontal="center" vertical="center" wrapText="1"/>
    </xf>
    <xf numFmtId="0" fontId="5" fillId="6" borderId="7" xfId="4" applyFont="1" applyFill="1" applyBorder="1" applyAlignment="1">
      <alignment vertical="center" wrapText="1"/>
    </xf>
    <xf numFmtId="0" fontId="13" fillId="6" borderId="118" xfId="4" applyFont="1" applyFill="1" applyBorder="1" applyAlignment="1">
      <alignment vertical="center" wrapText="1"/>
    </xf>
    <xf numFmtId="0" fontId="5" fillId="0" borderId="180" xfId="4" applyFont="1" applyBorder="1" applyAlignment="1">
      <alignment vertical="center" wrapText="1"/>
    </xf>
    <xf numFmtId="0" fontId="5" fillId="6" borderId="118" xfId="4" applyFont="1" applyFill="1" applyBorder="1" applyAlignment="1">
      <alignment horizontal="center" vertical="center" wrapText="1"/>
    </xf>
    <xf numFmtId="0" fontId="13" fillId="6" borderId="181" xfId="4" applyFont="1" applyFill="1" applyBorder="1" applyAlignment="1">
      <alignment vertical="center" wrapText="1"/>
    </xf>
    <xf numFmtId="0" fontId="5" fillId="6" borderId="181" xfId="4" applyFont="1" applyFill="1" applyBorder="1" applyAlignment="1">
      <alignment horizontal="center" vertical="center" wrapText="1"/>
    </xf>
    <xf numFmtId="10" fontId="7" fillId="5" borderId="178" xfId="1" applyNumberFormat="1" applyFont="1" applyFill="1" applyBorder="1" applyAlignment="1">
      <alignment horizontal="right" vertical="center"/>
    </xf>
    <xf numFmtId="0" fontId="12" fillId="6" borderId="146" xfId="4" applyFont="1" applyFill="1" applyBorder="1" applyAlignment="1">
      <alignment horizontal="center" vertical="center" wrapText="1"/>
    </xf>
    <xf numFmtId="3" fontId="7" fillId="5" borderId="118" xfId="3" applyNumberFormat="1" applyFont="1" applyFill="1" applyBorder="1" applyAlignment="1">
      <alignment horizontal="right" vertical="center"/>
    </xf>
    <xf numFmtId="0" fontId="5" fillId="6" borderId="128" xfId="4" applyFont="1" applyFill="1" applyBorder="1" applyAlignment="1">
      <alignment vertical="center" wrapText="1"/>
    </xf>
    <xf numFmtId="49" fontId="31" fillId="6" borderId="183" xfId="4" applyNumberFormat="1" applyFont="1" applyFill="1" applyBorder="1" applyAlignment="1">
      <alignment horizontal="center" vertical="center" wrapText="1"/>
    </xf>
    <xf numFmtId="0" fontId="5" fillId="0" borderId="191" xfId="0" applyFont="1" applyBorder="1" applyAlignment="1">
      <alignment vertical="center" wrapText="1"/>
    </xf>
    <xf numFmtId="49" fontId="5" fillId="6" borderId="147" xfId="4" applyNumberFormat="1" applyFont="1" applyFill="1" applyBorder="1" applyAlignment="1">
      <alignment horizontal="center" vertical="center" wrapText="1"/>
    </xf>
    <xf numFmtId="49" fontId="5" fillId="6" borderId="183" xfId="4" applyNumberFormat="1" applyFont="1" applyFill="1" applyBorder="1" applyAlignment="1">
      <alignment horizontal="center" vertical="center" wrapText="1"/>
    </xf>
    <xf numFmtId="0" fontId="5" fillId="0" borderId="184" xfId="4" applyFont="1" applyBorder="1" applyAlignment="1">
      <alignment vertical="center" wrapText="1"/>
    </xf>
    <xf numFmtId="0" fontId="13" fillId="5" borderId="178" xfId="4" applyFont="1" applyFill="1" applyBorder="1" applyAlignment="1">
      <alignment horizontal="left" vertical="center" wrapText="1"/>
    </xf>
    <xf numFmtId="0" fontId="5" fillId="6" borderId="184" xfId="4" applyFont="1" applyFill="1" applyBorder="1" applyAlignment="1">
      <alignment vertical="center" wrapText="1"/>
    </xf>
    <xf numFmtId="0" fontId="16" fillId="6" borderId="7" xfId="4" applyFont="1" applyFill="1" applyBorder="1" applyAlignment="1">
      <alignment vertical="center" wrapText="1"/>
    </xf>
    <xf numFmtId="0" fontId="13" fillId="6" borderId="7" xfId="4" applyFont="1" applyFill="1" applyBorder="1" applyAlignment="1">
      <alignment vertical="center" wrapText="1"/>
    </xf>
    <xf numFmtId="0" fontId="16" fillId="6" borderId="178" xfId="4" applyFont="1" applyFill="1" applyBorder="1" applyAlignment="1">
      <alignment vertical="center" wrapText="1"/>
    </xf>
    <xf numFmtId="0" fontId="13" fillId="6" borderId="162" xfId="4" applyFont="1" applyFill="1" applyBorder="1" applyAlignment="1">
      <alignment vertical="center" wrapText="1"/>
    </xf>
    <xf numFmtId="0" fontId="5" fillId="6" borderId="164" xfId="4" applyFont="1" applyFill="1" applyBorder="1" applyAlignment="1">
      <alignment vertical="center" wrapText="1"/>
    </xf>
    <xf numFmtId="0" fontId="5" fillId="6" borderId="162" xfId="4" applyFont="1" applyFill="1" applyBorder="1" applyAlignment="1">
      <alignment horizontal="center" vertical="center" wrapText="1"/>
    </xf>
    <xf numFmtId="0" fontId="13" fillId="5" borderId="181" xfId="4" applyFont="1" applyFill="1" applyBorder="1" applyAlignment="1">
      <alignment horizontal="center" vertical="center" wrapText="1"/>
    </xf>
    <xf numFmtId="0" fontId="5" fillId="6" borderId="184" xfId="4" applyFont="1" applyFill="1" applyBorder="1" applyAlignment="1">
      <alignment horizontal="left" vertical="center" wrapText="1"/>
    </xf>
    <xf numFmtId="0" fontId="5" fillId="6" borderId="183" xfId="4" applyFont="1" applyFill="1" applyBorder="1" applyAlignment="1">
      <alignment horizontal="left" vertical="center" wrapText="1"/>
    </xf>
    <xf numFmtId="0" fontId="5" fillId="6" borderId="157" xfId="4" applyFont="1" applyFill="1" applyBorder="1" applyAlignment="1">
      <alignment horizontal="left" vertical="center" wrapText="1"/>
    </xf>
    <xf numFmtId="0" fontId="5" fillId="6" borderId="118" xfId="4" applyFont="1" applyFill="1" applyBorder="1" applyAlignment="1">
      <alignment vertical="center" wrapText="1"/>
    </xf>
    <xf numFmtId="0" fontId="5" fillId="6" borderId="7" xfId="4" applyFont="1" applyFill="1" applyBorder="1" applyAlignment="1">
      <alignment horizontal="center" vertical="center" wrapText="1"/>
    </xf>
    <xf numFmtId="0" fontId="13" fillId="5" borderId="162" xfId="4" applyFont="1" applyFill="1" applyBorder="1" applyAlignment="1">
      <alignment horizontal="center" vertical="center" wrapText="1"/>
    </xf>
    <xf numFmtId="0" fontId="5" fillId="6" borderId="128" xfId="4" applyFont="1" applyFill="1" applyBorder="1" applyAlignment="1">
      <alignment horizontal="left" vertical="center" wrapText="1"/>
    </xf>
    <xf numFmtId="0" fontId="13" fillId="6" borderId="183" xfId="4" applyFont="1" applyFill="1" applyBorder="1" applyAlignment="1">
      <alignment horizontal="center" vertical="center" wrapText="1"/>
    </xf>
    <xf numFmtId="0" fontId="5" fillId="6" borderId="183" xfId="4" applyFont="1" applyFill="1" applyBorder="1" applyAlignment="1">
      <alignment vertical="center" wrapText="1"/>
    </xf>
    <xf numFmtId="0" fontId="13" fillId="5" borderId="183" xfId="4" applyFont="1" applyFill="1" applyBorder="1" applyAlignment="1">
      <alignment horizontal="center" vertical="center" wrapText="1"/>
    </xf>
    <xf numFmtId="0" fontId="13" fillId="0" borderId="157" xfId="4" applyFont="1" applyBorder="1" applyAlignment="1">
      <alignment horizontal="left" vertical="center" wrapText="1"/>
    </xf>
    <xf numFmtId="10" fontId="7" fillId="0" borderId="181" xfId="1" applyNumberFormat="1" applyFont="1" applyFill="1" applyBorder="1" applyAlignment="1">
      <alignment horizontal="right" vertical="center"/>
    </xf>
    <xf numFmtId="0" fontId="5" fillId="6" borderId="118" xfId="4" applyFont="1" applyFill="1" applyBorder="1" applyAlignment="1">
      <alignment horizontal="left" vertical="center" wrapText="1"/>
    </xf>
    <xf numFmtId="0" fontId="13" fillId="6" borderId="118" xfId="4" applyFont="1" applyFill="1" applyBorder="1" applyAlignment="1">
      <alignment horizontal="left" vertical="center" wrapText="1"/>
    </xf>
    <xf numFmtId="0" fontId="5" fillId="6" borderId="180" xfId="4" applyFont="1" applyFill="1" applyBorder="1" applyAlignment="1">
      <alignment horizontal="left" vertical="center" wrapText="1"/>
    </xf>
    <xf numFmtId="0" fontId="78" fillId="0" borderId="178" xfId="4" applyFont="1" applyBorder="1" applyAlignment="1">
      <alignment vertical="center" wrapText="1"/>
    </xf>
    <xf numFmtId="0" fontId="12" fillId="4" borderId="142" xfId="4" applyFont="1" applyFill="1" applyBorder="1" applyAlignment="1">
      <alignment horizontal="left" vertical="center" wrapText="1"/>
    </xf>
    <xf numFmtId="0" fontId="5" fillId="0" borderId="183" xfId="4" applyFont="1" applyBorder="1" applyAlignment="1">
      <alignment vertical="center" wrapText="1"/>
    </xf>
    <xf numFmtId="4" fontId="13" fillId="5" borderId="184" xfId="2" applyNumberFormat="1" applyFont="1" applyFill="1" applyBorder="1" applyAlignment="1">
      <alignment horizontal="right" vertical="center"/>
    </xf>
    <xf numFmtId="3" fontId="14" fillId="6" borderId="183" xfId="2" applyNumberFormat="1" applyFont="1" applyFill="1" applyBorder="1" applyAlignment="1">
      <alignment horizontal="right" vertical="center"/>
    </xf>
    <xf numFmtId="0" fontId="5" fillId="6" borderId="186" xfId="4" applyFont="1" applyFill="1" applyBorder="1" applyAlignment="1">
      <alignment horizontal="left" vertical="center" wrapText="1"/>
    </xf>
    <xf numFmtId="49" fontId="13" fillId="5" borderId="162" xfId="4" applyNumberFormat="1" applyFont="1" applyFill="1" applyBorder="1" applyAlignment="1">
      <alignment horizontal="center" vertical="center" wrapText="1"/>
    </xf>
    <xf numFmtId="0" fontId="13" fillId="0" borderId="147" xfId="4" applyFont="1" applyBorder="1" applyAlignment="1">
      <alignment vertical="center" wrapText="1"/>
    </xf>
    <xf numFmtId="49" fontId="5" fillId="0" borderId="183" xfId="4" applyNumberFormat="1" applyFont="1" applyBorder="1" applyAlignment="1">
      <alignment horizontal="center" vertical="center" wrapText="1"/>
    </xf>
    <xf numFmtId="0" fontId="78" fillId="0" borderId="7" xfId="4" applyFont="1" applyBorder="1" applyAlignment="1">
      <alignment vertical="center" wrapText="1"/>
    </xf>
    <xf numFmtId="0" fontId="13" fillId="0" borderId="7" xfId="4" applyFont="1" applyBorder="1" applyAlignment="1">
      <alignment vertical="center" wrapText="1"/>
    </xf>
    <xf numFmtId="49" fontId="5" fillId="0" borderId="118" xfId="4" applyNumberFormat="1" applyFont="1" applyBorder="1" applyAlignment="1">
      <alignment horizontal="center" vertical="center" wrapText="1"/>
    </xf>
    <xf numFmtId="0" fontId="25" fillId="0" borderId="178" xfId="4" applyFont="1" applyBorder="1" applyAlignment="1">
      <alignment vertical="center" wrapText="1"/>
    </xf>
    <xf numFmtId="0" fontId="15" fillId="0" borderId="178" xfId="4" applyFont="1" applyBorder="1" applyAlignment="1">
      <alignment vertical="center" wrapText="1"/>
    </xf>
    <xf numFmtId="0" fontId="5" fillId="0" borderId="162" xfId="4" applyFont="1" applyBorder="1" applyAlignment="1">
      <alignment horizontal="left" vertical="center" wrapText="1"/>
    </xf>
    <xf numFmtId="0" fontId="5" fillId="0" borderId="183" xfId="4" applyFont="1" applyBorder="1" applyAlignment="1">
      <alignment horizontal="left" vertical="center" wrapText="1"/>
    </xf>
    <xf numFmtId="49" fontId="5" fillId="0" borderId="181" xfId="4" applyNumberFormat="1" applyFont="1" applyBorder="1" applyAlignment="1">
      <alignment horizontal="center" vertical="center" wrapText="1"/>
    </xf>
    <xf numFmtId="49" fontId="5" fillId="6" borderId="181" xfId="4" applyNumberFormat="1" applyFont="1" applyFill="1" applyBorder="1" applyAlignment="1">
      <alignment horizontal="center" vertical="center" wrapText="1"/>
    </xf>
    <xf numFmtId="0" fontId="5" fillId="6" borderId="183" xfId="4" quotePrefix="1" applyFont="1" applyFill="1" applyBorder="1" applyAlignment="1">
      <alignment horizontal="left" vertical="center" wrapText="1"/>
    </xf>
    <xf numFmtId="0" fontId="13" fillId="0" borderId="182" xfId="4" applyFont="1" applyBorder="1" applyAlignment="1">
      <alignment horizontal="center" vertical="center" wrapText="1"/>
    </xf>
    <xf numFmtId="2" fontId="5" fillId="0" borderId="0" xfId="2" applyNumberFormat="1" applyFont="1" applyAlignment="1">
      <alignment vertical="center"/>
    </xf>
    <xf numFmtId="49" fontId="13" fillId="5" borderId="183" xfId="4" applyNumberFormat="1" applyFont="1" applyFill="1" applyBorder="1" applyAlignment="1">
      <alignment horizontal="center" vertical="center" wrapText="1"/>
    </xf>
    <xf numFmtId="0" fontId="5" fillId="0" borderId="7" xfId="4" applyFont="1" applyBorder="1" applyAlignment="1">
      <alignment vertical="center" wrapText="1"/>
    </xf>
    <xf numFmtId="0" fontId="5" fillId="0" borderId="118" xfId="4" applyFont="1" applyBorder="1" applyAlignment="1">
      <alignment horizontal="left" vertical="center" wrapText="1"/>
    </xf>
    <xf numFmtId="3" fontId="14" fillId="0" borderId="7" xfId="2" applyNumberFormat="1" applyFont="1" applyBorder="1" applyAlignment="1">
      <alignment horizontal="right" vertical="center"/>
    </xf>
    <xf numFmtId="0" fontId="5" fillId="6" borderId="187" xfId="4" applyFont="1" applyFill="1" applyBorder="1" applyAlignment="1">
      <alignment horizontal="left" vertical="center" wrapText="1"/>
    </xf>
    <xf numFmtId="0" fontId="5" fillId="6" borderId="185" xfId="2" applyFont="1" applyFill="1" applyBorder="1" applyAlignment="1">
      <alignment vertical="center" wrapText="1"/>
    </xf>
    <xf numFmtId="49" fontId="13" fillId="5" borderId="118" xfId="4" applyNumberFormat="1" applyFont="1" applyFill="1" applyBorder="1" applyAlignment="1">
      <alignment horizontal="center" vertical="center" wrapText="1"/>
    </xf>
    <xf numFmtId="4" fontId="7" fillId="5" borderId="178" xfId="2" applyNumberFormat="1" applyFont="1" applyFill="1" applyBorder="1" applyAlignment="1">
      <alignment horizontal="right" vertical="center"/>
    </xf>
    <xf numFmtId="10" fontId="11" fillId="5" borderId="147" xfId="1" applyNumberFormat="1" applyFont="1" applyFill="1" applyBorder="1" applyAlignment="1">
      <alignment horizontal="right" vertical="center"/>
    </xf>
    <xf numFmtId="0" fontId="15" fillId="0" borderId="0" xfId="4" applyFont="1" applyAlignment="1">
      <alignment horizontal="left" vertical="center" wrapText="1"/>
    </xf>
    <xf numFmtId="0" fontId="26" fillId="6" borderId="10" xfId="2" applyFont="1" applyFill="1" applyBorder="1" applyAlignment="1">
      <alignment vertical="center" wrapText="1"/>
    </xf>
    <xf numFmtId="49" fontId="5" fillId="0" borderId="118" xfId="2" applyNumberFormat="1" applyFont="1" applyBorder="1" applyAlignment="1">
      <alignment horizontal="center" vertical="center" wrapText="1"/>
    </xf>
    <xf numFmtId="0" fontId="26" fillId="6" borderId="178" xfId="2" applyFont="1" applyFill="1" applyBorder="1" applyAlignment="1">
      <alignment vertical="center" wrapText="1"/>
    </xf>
    <xf numFmtId="0" fontId="5" fillId="0" borderId="164" xfId="2" applyFont="1" applyBorder="1" applyAlignment="1">
      <alignment horizontal="left" vertical="center" wrapText="1"/>
    </xf>
    <xf numFmtId="0" fontId="26" fillId="6" borderId="181" xfId="2" applyFont="1" applyFill="1" applyBorder="1" applyAlignment="1">
      <alignment vertical="center" wrapText="1"/>
    </xf>
    <xf numFmtId="0" fontId="5" fillId="0" borderId="184" xfId="2" quotePrefix="1" applyFont="1" applyBorder="1" applyAlignment="1">
      <alignment vertical="center" wrapText="1"/>
    </xf>
    <xf numFmtId="0" fontId="8" fillId="8" borderId="84" xfId="4" applyFont="1" applyFill="1" applyBorder="1" applyAlignment="1">
      <alignment horizontal="center" vertical="center" wrapText="1"/>
    </xf>
    <xf numFmtId="0" fontId="8" fillId="8" borderId="143" xfId="4" applyFont="1" applyFill="1" applyBorder="1" applyAlignment="1">
      <alignment horizontal="center" vertical="center" wrapText="1"/>
    </xf>
    <xf numFmtId="0" fontId="8" fillId="8" borderId="142" xfId="4" applyFont="1" applyFill="1" applyBorder="1" applyAlignment="1">
      <alignment vertical="center" wrapText="1"/>
    </xf>
    <xf numFmtId="0" fontId="8" fillId="8" borderId="84" xfId="4" applyFont="1" applyFill="1" applyBorder="1" applyAlignment="1">
      <alignment vertical="center" wrapText="1"/>
    </xf>
    <xf numFmtId="3" fontId="11" fillId="8" borderId="84" xfId="2" applyNumberFormat="1" applyFont="1" applyFill="1" applyBorder="1" applyAlignment="1">
      <alignment horizontal="right" vertical="center"/>
    </xf>
    <xf numFmtId="4" fontId="11" fillId="8" borderId="84" xfId="2" applyNumberFormat="1" applyFont="1" applyFill="1" applyBorder="1" applyAlignment="1">
      <alignment horizontal="right" vertical="center"/>
    </xf>
    <xf numFmtId="0" fontId="13" fillId="0" borderId="10" xfId="4" applyFont="1" applyBorder="1" applyAlignment="1">
      <alignment horizontal="center" vertical="center" wrapText="1"/>
    </xf>
    <xf numFmtId="3" fontId="14" fillId="0" borderId="118" xfId="2" applyNumberFormat="1" applyFont="1" applyBorder="1" applyAlignment="1">
      <alignment horizontal="right" vertical="center"/>
    </xf>
    <xf numFmtId="0" fontId="10" fillId="0" borderId="178" xfId="4" applyFont="1" applyBorder="1" applyAlignment="1">
      <alignment vertical="center" wrapText="1"/>
    </xf>
    <xf numFmtId="0" fontId="5" fillId="0" borderId="128" xfId="4" applyFont="1" applyBorder="1" applyAlignment="1">
      <alignment horizontal="left" vertical="center" wrapText="1"/>
    </xf>
    <xf numFmtId="0" fontId="5" fillId="0" borderId="183" xfId="4" applyFont="1" applyBorder="1" applyAlignment="1">
      <alignment horizontal="center" vertical="center" wrapText="1"/>
    </xf>
    <xf numFmtId="0" fontId="13" fillId="5" borderId="183" xfId="4" applyFont="1" applyFill="1" applyBorder="1" applyAlignment="1">
      <alignment horizontal="left" vertical="center" wrapText="1"/>
    </xf>
    <xf numFmtId="3" fontId="7" fillId="5" borderId="183" xfId="3" applyNumberFormat="1" applyFont="1" applyFill="1" applyBorder="1" applyAlignment="1">
      <alignment horizontal="right" vertical="center"/>
    </xf>
    <xf numFmtId="4" fontId="7" fillId="5" borderId="184" xfId="3" applyNumberFormat="1" applyFont="1" applyFill="1" applyBorder="1" applyAlignment="1">
      <alignment horizontal="right" vertical="center"/>
    </xf>
    <xf numFmtId="0" fontId="13" fillId="6" borderId="105" xfId="4" applyFont="1" applyFill="1" applyBorder="1" applyAlignment="1">
      <alignment vertical="center" wrapText="1"/>
    </xf>
    <xf numFmtId="3" fontId="14" fillId="6" borderId="118" xfId="3" applyNumberFormat="1" applyFont="1" applyFill="1" applyBorder="1" applyAlignment="1">
      <alignment horizontal="right" vertical="center"/>
    </xf>
    <xf numFmtId="10" fontId="11" fillId="0" borderId="118" xfId="1" applyNumberFormat="1" applyFont="1" applyFill="1" applyBorder="1" applyAlignment="1">
      <alignment horizontal="right" vertical="center"/>
    </xf>
    <xf numFmtId="4" fontId="11" fillId="4" borderId="84" xfId="2" applyNumberFormat="1" applyFont="1" applyFill="1" applyBorder="1" applyAlignment="1">
      <alignment horizontal="right" vertical="center"/>
    </xf>
    <xf numFmtId="0" fontId="5" fillId="0" borderId="184" xfId="4" applyFont="1" applyBorder="1" applyAlignment="1">
      <alignment horizontal="left" vertical="center" wrapText="1"/>
    </xf>
    <xf numFmtId="3" fontId="11" fillId="4" borderId="178" xfId="3" applyNumberFormat="1" applyFont="1" applyFill="1" applyBorder="1" applyAlignment="1">
      <alignment horizontal="right" vertical="center"/>
    </xf>
    <xf numFmtId="4" fontId="11" fillId="4" borderId="178" xfId="3" applyNumberFormat="1" applyFont="1" applyFill="1" applyBorder="1" applyAlignment="1">
      <alignment horizontal="right" vertical="center"/>
    </xf>
    <xf numFmtId="3" fontId="7" fillId="5" borderId="178" xfId="3" applyNumberFormat="1" applyFont="1" applyFill="1" applyBorder="1" applyAlignment="1">
      <alignment horizontal="right" vertical="center"/>
    </xf>
    <xf numFmtId="4" fontId="7" fillId="5" borderId="178" xfId="3" applyNumberFormat="1" applyFont="1" applyFill="1" applyBorder="1" applyAlignment="1">
      <alignment horizontal="right" vertical="center"/>
    </xf>
    <xf numFmtId="4" fontId="7" fillId="5" borderId="183" xfId="3" applyNumberFormat="1" applyFont="1" applyFill="1" applyBorder="1" applyAlignment="1">
      <alignment horizontal="right" vertical="center"/>
    </xf>
    <xf numFmtId="10" fontId="11" fillId="5" borderId="183" xfId="1" applyNumberFormat="1" applyFont="1" applyFill="1" applyBorder="1" applyAlignment="1">
      <alignment horizontal="right" vertical="center"/>
    </xf>
    <xf numFmtId="0" fontId="12" fillId="6" borderId="186" xfId="4" applyFont="1" applyFill="1" applyBorder="1" applyAlignment="1">
      <alignment horizontal="center" vertical="center" wrapText="1"/>
    </xf>
    <xf numFmtId="0" fontId="13" fillId="0" borderId="147" xfId="4" applyFont="1" applyBorder="1" applyAlignment="1">
      <alignment horizontal="left" vertical="center" wrapText="1"/>
    </xf>
    <xf numFmtId="0" fontId="5" fillId="0" borderId="168" xfId="4" applyFont="1" applyBorder="1" applyAlignment="1">
      <alignment vertical="center" wrapText="1"/>
    </xf>
    <xf numFmtId="0" fontId="12" fillId="0" borderId="181" xfId="4" applyFont="1" applyBorder="1" applyAlignment="1">
      <alignment horizontal="center" vertical="center" wrapText="1"/>
    </xf>
    <xf numFmtId="0" fontId="5" fillId="6" borderId="168" xfId="4" applyFont="1" applyFill="1" applyBorder="1" applyAlignment="1">
      <alignment vertical="center" wrapText="1"/>
    </xf>
    <xf numFmtId="0" fontId="25" fillId="6" borderId="178" xfId="4" applyFont="1" applyFill="1" applyBorder="1" applyAlignment="1">
      <alignment horizontal="center" vertical="center" wrapText="1"/>
    </xf>
    <xf numFmtId="0" fontId="8" fillId="6" borderId="147" xfId="4" applyFont="1" applyFill="1" applyBorder="1" applyAlignment="1">
      <alignment vertical="center" wrapText="1"/>
    </xf>
    <xf numFmtId="0" fontId="25" fillId="6" borderId="182" xfId="4" applyFont="1" applyFill="1" applyBorder="1" applyAlignment="1">
      <alignment vertical="center" wrapText="1"/>
    </xf>
    <xf numFmtId="0" fontId="25" fillId="6" borderId="7" xfId="4" applyFont="1" applyFill="1" applyBorder="1" applyAlignment="1">
      <alignment vertical="center" wrapText="1"/>
    </xf>
    <xf numFmtId="0" fontId="25" fillId="6" borderId="178" xfId="4" applyFont="1" applyFill="1" applyBorder="1" applyAlignment="1">
      <alignment vertical="center" wrapText="1"/>
    </xf>
    <xf numFmtId="0" fontId="15" fillId="6" borderId="147" xfId="4" applyFont="1" applyFill="1" applyBorder="1" applyAlignment="1">
      <alignment vertical="center" wrapText="1"/>
    </xf>
    <xf numFmtId="0" fontId="5" fillId="0" borderId="182" xfId="4" applyFont="1" applyBorder="1" applyAlignment="1">
      <alignment horizontal="left" vertical="center" wrapText="1"/>
    </xf>
    <xf numFmtId="0" fontId="15" fillId="6" borderId="7" xfId="4" applyFont="1" applyFill="1" applyBorder="1" applyAlignment="1">
      <alignment vertical="center" wrapText="1"/>
    </xf>
    <xf numFmtId="0" fontId="5" fillId="0" borderId="144" xfId="4" applyFont="1" applyBorder="1" applyAlignment="1">
      <alignment horizontal="left" vertical="center" wrapText="1"/>
    </xf>
    <xf numFmtId="0" fontId="5" fillId="0" borderId="118" xfId="4" applyFont="1" applyBorder="1" applyAlignment="1">
      <alignment horizontal="center" vertical="center" wrapText="1"/>
    </xf>
    <xf numFmtId="0" fontId="15" fillId="6" borderId="6" xfId="4" applyFont="1" applyFill="1" applyBorder="1" applyAlignment="1">
      <alignment vertical="center" wrapText="1"/>
    </xf>
    <xf numFmtId="0" fontId="31" fillId="0" borderId="4" xfId="4" applyFont="1" applyBorder="1" applyAlignment="1">
      <alignment horizontal="left" vertical="center" wrapText="1"/>
    </xf>
    <xf numFmtId="0" fontId="5" fillId="0" borderId="178" xfId="4" applyFont="1" applyBorder="1" applyAlignment="1">
      <alignment horizontal="center" vertical="center" wrapText="1"/>
    </xf>
    <xf numFmtId="3" fontId="14" fillId="0" borderId="178" xfId="3" applyNumberFormat="1" applyFont="1" applyFill="1" applyBorder="1" applyAlignment="1">
      <alignment horizontal="right" vertical="center"/>
    </xf>
    <xf numFmtId="3" fontId="5" fillId="0" borderId="178" xfId="2" applyNumberFormat="1" applyFont="1" applyBorder="1" applyAlignment="1">
      <alignment horizontal="right" vertical="center"/>
    </xf>
    <xf numFmtId="4" fontId="5" fillId="0" borderId="4" xfId="2" applyNumberFormat="1" applyFont="1" applyBorder="1" applyAlignment="1">
      <alignment horizontal="right" vertical="center"/>
    </xf>
    <xf numFmtId="10" fontId="14" fillId="0" borderId="178" xfId="1" applyNumberFormat="1" applyFont="1" applyFill="1" applyBorder="1" applyAlignment="1">
      <alignment horizontal="right" vertical="center"/>
    </xf>
    <xf numFmtId="0" fontId="5" fillId="0" borderId="157" xfId="4" applyFont="1" applyBorder="1" applyAlignment="1">
      <alignment horizontal="left" vertical="center" wrapText="1"/>
    </xf>
    <xf numFmtId="0" fontId="16" fillId="0" borderId="184" xfId="4" applyFont="1" applyBorder="1" applyAlignment="1">
      <alignment horizontal="left" vertical="center" wrapText="1"/>
    </xf>
    <xf numFmtId="0" fontId="16" fillId="0" borderId="183" xfId="4" applyFont="1" applyBorder="1" applyAlignment="1">
      <alignment horizontal="left" vertical="center" wrapText="1"/>
    </xf>
    <xf numFmtId="0" fontId="15" fillId="6" borderId="181" xfId="4" applyFont="1" applyFill="1" applyBorder="1" applyAlignment="1">
      <alignment vertical="center" wrapText="1"/>
    </xf>
    <xf numFmtId="10" fontId="14" fillId="5" borderId="181" xfId="1" applyNumberFormat="1" applyFont="1" applyFill="1" applyBorder="1" applyAlignment="1">
      <alignment horizontal="right" vertical="center"/>
    </xf>
    <xf numFmtId="0" fontId="5" fillId="0" borderId="144" xfId="4" quotePrefix="1" applyFont="1" applyBorder="1" applyAlignment="1">
      <alignment horizontal="left" vertical="center" wrapText="1"/>
    </xf>
    <xf numFmtId="3" fontId="11" fillId="3" borderId="142" xfId="2" applyNumberFormat="1" applyFont="1" applyFill="1" applyBorder="1" applyAlignment="1">
      <alignment horizontal="right" vertical="center"/>
    </xf>
    <xf numFmtId="0" fontId="8" fillId="6" borderId="178" xfId="4" applyFont="1" applyFill="1" applyBorder="1" applyAlignment="1">
      <alignment vertical="center" wrapText="1"/>
    </xf>
    <xf numFmtId="0" fontId="8" fillId="6" borderId="7" xfId="4" applyFont="1" applyFill="1" applyBorder="1" applyAlignment="1">
      <alignment vertical="center" wrapText="1"/>
    </xf>
    <xf numFmtId="4" fontId="7" fillId="5" borderId="7" xfId="2" applyNumberFormat="1" applyFont="1" applyFill="1" applyBorder="1" applyAlignment="1">
      <alignment horizontal="right" vertical="center"/>
    </xf>
    <xf numFmtId="0" fontId="10" fillId="6" borderId="178" xfId="4" applyFont="1" applyFill="1" applyBorder="1" applyAlignment="1">
      <alignment vertical="center" wrapText="1"/>
    </xf>
    <xf numFmtId="0" fontId="10" fillId="6" borderId="7" xfId="4" applyFont="1" applyFill="1" applyBorder="1" applyAlignment="1">
      <alignment vertical="center" wrapText="1"/>
    </xf>
    <xf numFmtId="4" fontId="7" fillId="5" borderId="118" xfId="2" applyNumberFormat="1" applyFont="1" applyFill="1" applyBorder="1" applyAlignment="1">
      <alignment horizontal="right" vertical="center"/>
    </xf>
    <xf numFmtId="0" fontId="5" fillId="0" borderId="168" xfId="4" quotePrefix="1" applyFont="1" applyBorder="1" applyAlignment="1">
      <alignment vertical="center" wrapText="1"/>
    </xf>
    <xf numFmtId="0" fontId="5" fillId="0" borderId="94" xfId="4" quotePrefix="1" applyFont="1" applyBorder="1" applyAlignment="1">
      <alignment vertical="center" wrapText="1"/>
    </xf>
    <xf numFmtId="0" fontId="5" fillId="0" borderId="128" xfId="4" quotePrefix="1" applyFont="1" applyBorder="1" applyAlignment="1">
      <alignment vertical="center" wrapText="1"/>
    </xf>
    <xf numFmtId="10" fontId="14" fillId="5" borderId="183" xfId="1" applyNumberFormat="1" applyFont="1" applyFill="1" applyBorder="1" applyAlignment="1">
      <alignment horizontal="right" vertical="center"/>
    </xf>
    <xf numFmtId="0" fontId="8" fillId="3" borderId="84" xfId="2" applyFont="1" applyFill="1" applyBorder="1" applyAlignment="1">
      <alignment horizontal="center"/>
    </xf>
    <xf numFmtId="3" fontId="11" fillId="3" borderId="84" xfId="3" applyNumberFormat="1" applyFont="1" applyFill="1" applyBorder="1" applyAlignment="1">
      <alignment horizontal="right" vertical="center"/>
    </xf>
    <xf numFmtId="4" fontId="11" fillId="3" borderId="84" xfId="3" applyNumberFormat="1" applyFont="1" applyFill="1" applyBorder="1" applyAlignment="1">
      <alignment horizontal="right" vertical="center"/>
    </xf>
    <xf numFmtId="0" fontId="8" fillId="4" borderId="142" xfId="4" applyFont="1" applyFill="1" applyBorder="1" applyAlignment="1">
      <alignment horizontal="center" vertical="center" wrapText="1"/>
    </xf>
    <xf numFmtId="0" fontId="8" fillId="4" borderId="84" xfId="4" applyFont="1" applyFill="1" applyBorder="1" applyAlignment="1">
      <alignment vertical="center" wrapText="1"/>
    </xf>
    <xf numFmtId="3" fontId="11" fillId="4" borderId="84" xfId="3" applyNumberFormat="1" applyFont="1" applyFill="1" applyBorder="1" applyAlignment="1">
      <alignment horizontal="right" vertical="center"/>
    </xf>
    <xf numFmtId="4" fontId="11" fillId="4" borderId="84" xfId="3" applyNumberFormat="1" applyFont="1" applyFill="1" applyBorder="1" applyAlignment="1">
      <alignment horizontal="right" vertical="center"/>
    </xf>
    <xf numFmtId="3" fontId="7" fillId="5" borderId="162" xfId="3" applyNumberFormat="1" applyFont="1" applyFill="1" applyBorder="1" applyAlignment="1">
      <alignment horizontal="right" vertical="center"/>
    </xf>
    <xf numFmtId="4" fontId="7" fillId="5" borderId="162" xfId="3" applyNumberFormat="1" applyFont="1" applyFill="1" applyBorder="1" applyAlignment="1">
      <alignment horizontal="right" vertical="center"/>
    </xf>
    <xf numFmtId="0" fontId="8" fillId="0" borderId="178" xfId="4" applyFont="1" applyBorder="1" applyAlignment="1">
      <alignment vertical="center" wrapText="1"/>
    </xf>
    <xf numFmtId="49" fontId="5" fillId="6" borderId="183" xfId="4" quotePrefix="1" applyNumberFormat="1" applyFont="1" applyFill="1" applyBorder="1" applyAlignment="1">
      <alignment horizontal="center" vertical="center" wrapText="1"/>
    </xf>
    <xf numFmtId="0" fontId="8" fillId="4" borderId="142" xfId="4" applyFont="1" applyFill="1" applyBorder="1" applyAlignment="1">
      <alignment vertical="center" wrapText="1"/>
    </xf>
    <xf numFmtId="0" fontId="31" fillId="0" borderId="182" xfId="4" applyFont="1" applyBorder="1" applyAlignment="1">
      <alignment vertical="center" wrapText="1"/>
    </xf>
    <xf numFmtId="4" fontId="31" fillId="0" borderId="182" xfId="2" applyNumberFormat="1" applyFont="1" applyBorder="1" applyAlignment="1">
      <alignment horizontal="right" vertical="center"/>
    </xf>
    <xf numFmtId="0" fontId="78" fillId="3" borderId="84" xfId="4" applyFont="1" applyFill="1" applyBorder="1" applyAlignment="1">
      <alignment horizontal="center" vertical="center" wrapText="1"/>
    </xf>
    <xf numFmtId="0" fontId="78" fillId="3" borderId="143" xfId="4" applyFont="1" applyFill="1" applyBorder="1" applyAlignment="1">
      <alignment horizontal="center" vertical="center" wrapText="1"/>
    </xf>
    <xf numFmtId="0" fontId="78" fillId="3" borderId="142" xfId="4" applyFont="1" applyFill="1" applyBorder="1" applyAlignment="1">
      <alignment vertical="center" wrapText="1"/>
    </xf>
    <xf numFmtId="0" fontId="10" fillId="3" borderId="84" xfId="4" applyFont="1" applyFill="1" applyBorder="1" applyAlignment="1">
      <alignment vertical="center" wrapText="1"/>
    </xf>
    <xf numFmtId="0" fontId="10" fillId="4" borderId="84" xfId="4" applyFont="1" applyFill="1" applyBorder="1" applyAlignment="1">
      <alignment vertical="center" wrapText="1"/>
    </xf>
    <xf numFmtId="3" fontId="34" fillId="4" borderId="142" xfId="2" applyNumberFormat="1" applyFont="1" applyFill="1" applyBorder="1" applyAlignment="1">
      <alignment horizontal="right" vertical="center"/>
    </xf>
    <xf numFmtId="0" fontId="15" fillId="5" borderId="162" xfId="4" applyFont="1" applyFill="1" applyBorder="1" applyAlignment="1">
      <alignment horizontal="left" vertical="center" wrapText="1"/>
    </xf>
    <xf numFmtId="3" fontId="31" fillId="5" borderId="162" xfId="2" applyNumberFormat="1" applyFont="1" applyFill="1" applyBorder="1" applyAlignment="1">
      <alignment horizontal="right" vertical="center"/>
    </xf>
    <xf numFmtId="3" fontId="5" fillId="5" borderId="147" xfId="2" applyNumberFormat="1" applyFont="1" applyFill="1" applyBorder="1" applyAlignment="1">
      <alignment horizontal="right" vertical="center"/>
    </xf>
    <xf numFmtId="4" fontId="5" fillId="5" borderId="157" xfId="2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left" vertical="center" wrapText="1"/>
    </xf>
    <xf numFmtId="0" fontId="35" fillId="4" borderId="142" xfId="4" applyFont="1" applyFill="1" applyBorder="1" applyAlignment="1">
      <alignment horizontal="center" vertical="center" wrapText="1"/>
    </xf>
    <xf numFmtId="0" fontId="35" fillId="4" borderId="142" xfId="4" applyFont="1" applyFill="1" applyBorder="1" applyAlignment="1">
      <alignment vertical="center" wrapText="1"/>
    </xf>
    <xf numFmtId="0" fontId="35" fillId="4" borderId="84" xfId="4" applyFont="1" applyFill="1" applyBorder="1" applyAlignment="1">
      <alignment vertical="center" wrapText="1"/>
    </xf>
    <xf numFmtId="0" fontId="32" fillId="5" borderId="162" xfId="4" applyFont="1" applyFill="1" applyBorder="1" applyAlignment="1">
      <alignment horizontal="left" vertical="center" wrapText="1"/>
    </xf>
    <xf numFmtId="3" fontId="31" fillId="5" borderId="147" xfId="2" applyNumberFormat="1" applyFont="1" applyFill="1" applyBorder="1" applyAlignment="1">
      <alignment horizontal="right" vertical="center"/>
    </xf>
    <xf numFmtId="4" fontId="31" fillId="5" borderId="157" xfId="2" applyNumberFormat="1" applyFont="1" applyFill="1" applyBorder="1" applyAlignment="1">
      <alignment horizontal="right" vertical="center"/>
    </xf>
    <xf numFmtId="0" fontId="35" fillId="0" borderId="183" xfId="4" applyFont="1" applyBorder="1" applyAlignment="1">
      <alignment horizontal="center" vertical="center" wrapText="1"/>
    </xf>
    <xf numFmtId="0" fontId="31" fillId="0" borderId="184" xfId="4" applyFont="1" applyBorder="1" applyAlignment="1">
      <alignment vertical="center" wrapText="1"/>
    </xf>
    <xf numFmtId="0" fontId="31" fillId="0" borderId="183" xfId="4" applyFont="1" applyBorder="1" applyAlignment="1">
      <alignment horizontal="center" vertical="center" wrapText="1"/>
    </xf>
    <xf numFmtId="0" fontId="32" fillId="5" borderId="181" xfId="4" applyFont="1" applyFill="1" applyBorder="1" applyAlignment="1">
      <alignment horizontal="left" vertical="center" wrapText="1"/>
    </xf>
    <xf numFmtId="3" fontId="36" fillId="5" borderId="162" xfId="2" applyNumberFormat="1" applyFont="1" applyFill="1" applyBorder="1" applyAlignment="1">
      <alignment horizontal="right" vertical="center"/>
    </xf>
    <xf numFmtId="4" fontId="36" fillId="5" borderId="164" xfId="2" applyNumberFormat="1" applyFont="1" applyFill="1" applyBorder="1" applyAlignment="1">
      <alignment horizontal="right" vertical="center"/>
    </xf>
    <xf numFmtId="49" fontId="31" fillId="0" borderId="183" xfId="4" applyNumberFormat="1" applyFont="1" applyBorder="1" applyAlignment="1">
      <alignment horizontal="center" vertical="center" wrapText="1"/>
    </xf>
    <xf numFmtId="49" fontId="31" fillId="6" borderId="147" xfId="4" applyNumberFormat="1" applyFont="1" applyFill="1" applyBorder="1" applyAlignment="1">
      <alignment horizontal="center" vertical="center" wrapText="1"/>
    </xf>
    <xf numFmtId="0" fontId="16" fillId="0" borderId="0" xfId="4" applyFont="1" applyAlignment="1">
      <alignment vertical="center" wrapText="1"/>
    </xf>
    <xf numFmtId="3" fontId="16" fillId="0" borderId="183" xfId="2" applyNumberFormat="1" applyFont="1" applyBorder="1" applyAlignment="1">
      <alignment horizontal="right" vertical="center"/>
    </xf>
    <xf numFmtId="4" fontId="16" fillId="0" borderId="184" xfId="2" applyNumberFormat="1" applyFont="1" applyBorder="1" applyAlignment="1">
      <alignment horizontal="right" vertical="center"/>
    </xf>
    <xf numFmtId="0" fontId="32" fillId="5" borderId="118" xfId="4" applyFont="1" applyFill="1" applyBorder="1" applyAlignment="1">
      <alignment horizontal="left" vertical="center" wrapText="1"/>
    </xf>
    <xf numFmtId="4" fontId="32" fillId="5" borderId="157" xfId="2" applyNumberFormat="1" applyFont="1" applyFill="1" applyBorder="1" applyAlignment="1">
      <alignment horizontal="right" vertical="center"/>
    </xf>
    <xf numFmtId="10" fontId="33" fillId="5" borderId="147" xfId="1" applyNumberFormat="1" applyFont="1" applyFill="1" applyBorder="1" applyAlignment="1">
      <alignment horizontal="right" vertical="center"/>
    </xf>
    <xf numFmtId="0" fontId="15" fillId="5" borderId="181" xfId="4" applyFont="1" applyFill="1" applyBorder="1" applyAlignment="1">
      <alignment horizontal="left" vertical="center" wrapText="1"/>
    </xf>
    <xf numFmtId="49" fontId="31" fillId="6" borderId="118" xfId="4" applyNumberFormat="1" applyFont="1" applyFill="1" applyBorder="1" applyAlignment="1">
      <alignment horizontal="center" vertical="center" wrapText="1"/>
    </xf>
    <xf numFmtId="4" fontId="31" fillId="0" borderId="144" xfId="2" applyNumberFormat="1" applyFont="1" applyBorder="1" applyAlignment="1">
      <alignment horizontal="right" vertical="center"/>
    </xf>
    <xf numFmtId="0" fontId="90" fillId="4" borderId="84" xfId="4" applyFont="1" applyFill="1" applyBorder="1" applyAlignment="1">
      <alignment horizontal="center" vertical="center" wrapText="1"/>
    </xf>
    <xf numFmtId="0" fontId="90" fillId="4" borderId="142" xfId="4" applyFont="1" applyFill="1" applyBorder="1" applyAlignment="1">
      <alignment vertical="center" wrapText="1"/>
    </xf>
    <xf numFmtId="0" fontId="21" fillId="4" borderId="84" xfId="4" applyFont="1" applyFill="1" applyBorder="1" applyAlignment="1">
      <alignment vertical="center" wrapText="1"/>
    </xf>
    <xf numFmtId="0" fontId="23" fillId="6" borderId="147" xfId="4" applyFont="1" applyFill="1" applyBorder="1" applyAlignment="1">
      <alignment vertical="center" wrapText="1"/>
    </xf>
    <xf numFmtId="0" fontId="31" fillId="6" borderId="168" xfId="4" applyFont="1" applyFill="1" applyBorder="1" applyAlignment="1">
      <alignment horizontal="left" vertical="center" wrapText="1"/>
    </xf>
    <xf numFmtId="0" fontId="31" fillId="0" borderId="0" xfId="4" applyFont="1" applyAlignment="1">
      <alignment vertical="center" wrapText="1"/>
    </xf>
    <xf numFmtId="0" fontId="31" fillId="0" borderId="94" xfId="4" applyFont="1" applyBorder="1" applyAlignment="1">
      <alignment vertical="center" wrapText="1"/>
    </xf>
    <xf numFmtId="49" fontId="31" fillId="0" borderId="147" xfId="4" applyNumberFormat="1" applyFont="1" applyBorder="1" applyAlignment="1">
      <alignment horizontal="center" vertical="center" wrapText="1"/>
    </xf>
    <xf numFmtId="0" fontId="85" fillId="4" borderId="143" xfId="4" applyFont="1" applyFill="1" applyBorder="1" applyAlignment="1">
      <alignment horizontal="center" vertical="center" wrapText="1"/>
    </xf>
    <xf numFmtId="0" fontId="85" fillId="4" borderId="142" xfId="4" applyFont="1" applyFill="1" applyBorder="1" applyAlignment="1">
      <alignment vertical="center" wrapText="1"/>
    </xf>
    <xf numFmtId="0" fontId="85" fillId="4" borderId="84" xfId="4" applyFont="1" applyFill="1" applyBorder="1" applyAlignment="1">
      <alignment vertical="center" wrapText="1"/>
    </xf>
    <xf numFmtId="0" fontId="19" fillId="6" borderId="147" xfId="4" applyFont="1" applyFill="1" applyBorder="1" applyAlignment="1">
      <alignment vertical="center" wrapText="1"/>
    </xf>
    <xf numFmtId="0" fontId="31" fillId="0" borderId="183" xfId="4" applyFont="1" applyBorder="1" applyAlignment="1">
      <alignment horizontal="left" vertical="center" wrapText="1"/>
    </xf>
    <xf numFmtId="0" fontId="19" fillId="6" borderId="181" xfId="4" applyFont="1" applyFill="1" applyBorder="1" applyAlignment="1">
      <alignment vertical="center" wrapText="1"/>
    </xf>
    <xf numFmtId="0" fontId="85" fillId="4" borderId="84" xfId="4" applyFont="1" applyFill="1" applyBorder="1" applyAlignment="1">
      <alignment horizontal="center" vertical="center" wrapText="1"/>
    </xf>
    <xf numFmtId="4" fontId="33" fillId="5" borderId="178" xfId="2" applyNumberFormat="1" applyFont="1" applyFill="1" applyBorder="1" applyAlignment="1">
      <alignment horizontal="right" vertical="center"/>
    </xf>
    <xf numFmtId="0" fontId="31" fillId="0" borderId="147" xfId="4" applyFont="1" applyBorder="1" applyAlignment="1">
      <alignment horizontal="left" vertical="center" wrapText="1"/>
    </xf>
    <xf numFmtId="4" fontId="31" fillId="0" borderId="157" xfId="2" applyNumberFormat="1" applyFont="1" applyBorder="1" applyAlignment="1">
      <alignment horizontal="right" vertical="center"/>
    </xf>
    <xf numFmtId="10" fontId="36" fillId="0" borderId="147" xfId="1" applyNumberFormat="1" applyFont="1" applyFill="1" applyBorder="1" applyAlignment="1">
      <alignment horizontal="right" vertical="center"/>
    </xf>
    <xf numFmtId="0" fontId="32" fillId="0" borderId="157" xfId="4" applyFont="1" applyBorder="1" applyAlignment="1">
      <alignment horizontal="center" vertical="center" wrapText="1"/>
    </xf>
    <xf numFmtId="0" fontId="35" fillId="3" borderId="84" xfId="4" applyFont="1" applyFill="1" applyBorder="1" applyAlignment="1">
      <alignment horizontal="center" vertical="center" wrapText="1"/>
    </xf>
    <xf numFmtId="0" fontId="35" fillId="9" borderId="143" xfId="4" applyFont="1" applyFill="1" applyBorder="1" applyAlignment="1">
      <alignment horizontal="center" vertical="center" wrapText="1"/>
    </xf>
    <xf numFmtId="0" fontId="35" fillId="9" borderId="142" xfId="4" applyFont="1" applyFill="1" applyBorder="1" applyAlignment="1">
      <alignment vertical="center" wrapText="1"/>
    </xf>
    <xf numFmtId="0" fontId="35" fillId="9" borderId="84" xfId="4" applyFont="1" applyFill="1" applyBorder="1" applyAlignment="1">
      <alignment vertical="center" wrapText="1"/>
    </xf>
    <xf numFmtId="3" fontId="34" fillId="9" borderId="142" xfId="2" applyNumberFormat="1" applyFont="1" applyFill="1" applyBorder="1" applyAlignment="1">
      <alignment horizontal="right" vertical="center"/>
    </xf>
    <xf numFmtId="4" fontId="34" fillId="9" borderId="142" xfId="2" applyNumberFormat="1" applyFont="1" applyFill="1" applyBorder="1" applyAlignment="1">
      <alignment horizontal="right" vertical="center"/>
    </xf>
    <xf numFmtId="10" fontId="34" fillId="3" borderId="84" xfId="1" applyNumberFormat="1" applyFont="1" applyFill="1" applyBorder="1" applyAlignment="1">
      <alignment horizontal="right" vertical="center"/>
    </xf>
    <xf numFmtId="0" fontId="32" fillId="0" borderId="14" xfId="4" applyFont="1" applyBorder="1" applyAlignment="1">
      <alignment vertical="center" wrapText="1"/>
    </xf>
    <xf numFmtId="4" fontId="35" fillId="4" borderId="142" xfId="2" applyNumberFormat="1" applyFont="1" applyFill="1" applyBorder="1" applyAlignment="1">
      <alignment horizontal="right" vertical="center"/>
    </xf>
    <xf numFmtId="0" fontId="32" fillId="5" borderId="178" xfId="4" applyFont="1" applyFill="1" applyBorder="1" applyAlignment="1">
      <alignment horizontal="left" vertical="center" wrapText="1"/>
    </xf>
    <xf numFmtId="3" fontId="31" fillId="5" borderId="181" xfId="2" applyNumberFormat="1" applyFont="1" applyFill="1" applyBorder="1" applyAlignment="1">
      <alignment horizontal="right" vertical="center"/>
    </xf>
    <xf numFmtId="4" fontId="31" fillId="5" borderId="182" xfId="2" applyNumberFormat="1" applyFont="1" applyFill="1" applyBorder="1" applyAlignment="1">
      <alignment horizontal="right" vertical="center"/>
    </xf>
    <xf numFmtId="0" fontId="32" fillId="0" borderId="147" xfId="4" applyFont="1" applyBorder="1" applyAlignment="1">
      <alignment horizontal="center" vertical="center" wrapText="1"/>
    </xf>
    <xf numFmtId="0" fontId="31" fillId="0" borderId="168" xfId="4" applyFont="1" applyBorder="1" applyAlignment="1">
      <alignment vertical="center" wrapText="1"/>
    </xf>
    <xf numFmtId="0" fontId="31" fillId="0" borderId="128" xfId="4" applyFont="1" applyBorder="1" applyAlignment="1">
      <alignment vertical="center" wrapText="1"/>
    </xf>
    <xf numFmtId="0" fontId="31" fillId="6" borderId="128" xfId="4" applyFont="1" applyFill="1" applyBorder="1" applyAlignment="1">
      <alignment vertical="center" wrapText="1"/>
    </xf>
    <xf numFmtId="0" fontId="32" fillId="5" borderId="183" xfId="4" applyFont="1" applyFill="1" applyBorder="1" applyAlignment="1">
      <alignment horizontal="left" vertical="center" wrapText="1"/>
    </xf>
    <xf numFmtId="4" fontId="32" fillId="5" borderId="184" xfId="2" applyNumberFormat="1" applyFont="1" applyFill="1" applyBorder="1" applyAlignment="1">
      <alignment horizontal="right" vertical="center"/>
    </xf>
    <xf numFmtId="10" fontId="33" fillId="5" borderId="183" xfId="1" applyNumberFormat="1" applyFont="1" applyFill="1" applyBorder="1" applyAlignment="1">
      <alignment horizontal="right" vertical="center"/>
    </xf>
    <xf numFmtId="0" fontId="31" fillId="0" borderId="183" xfId="4" applyFont="1" applyBorder="1" applyAlignment="1">
      <alignment vertical="center" wrapText="1"/>
    </xf>
    <xf numFmtId="0" fontId="31" fillId="6" borderId="0" xfId="4" applyFont="1" applyFill="1" applyAlignment="1">
      <alignment horizontal="left" vertical="center" wrapText="1"/>
    </xf>
    <xf numFmtId="3" fontId="31" fillId="0" borderId="147" xfId="2" applyNumberFormat="1" applyFont="1" applyBorder="1" applyAlignment="1">
      <alignment horizontal="right" vertical="center"/>
    </xf>
    <xf numFmtId="10" fontId="34" fillId="0" borderId="147" xfId="1" applyNumberFormat="1" applyFont="1" applyFill="1" applyBorder="1" applyAlignment="1">
      <alignment horizontal="right" vertical="center"/>
    </xf>
    <xf numFmtId="3" fontId="34" fillId="4" borderId="84" xfId="3" applyNumberFormat="1" applyFont="1" applyFill="1" applyBorder="1" applyAlignment="1">
      <alignment horizontal="right" vertical="center"/>
    </xf>
    <xf numFmtId="4" fontId="34" fillId="4" borderId="142" xfId="3" applyNumberFormat="1" applyFont="1" applyFill="1" applyBorder="1" applyAlignment="1">
      <alignment horizontal="right" vertical="center"/>
    </xf>
    <xf numFmtId="3" fontId="33" fillId="5" borderId="181" xfId="3" applyNumberFormat="1" applyFont="1" applyFill="1" applyBorder="1" applyAlignment="1">
      <alignment horizontal="right" vertical="center"/>
    </xf>
    <xf numFmtId="4" fontId="33" fillId="5" borderId="182" xfId="3" applyNumberFormat="1" applyFont="1" applyFill="1" applyBorder="1" applyAlignment="1">
      <alignment horizontal="right" vertical="center"/>
    </xf>
    <xf numFmtId="0" fontId="35" fillId="0" borderId="7" xfId="4" applyFont="1" applyBorder="1" applyAlignment="1">
      <alignment vertical="center" wrapText="1"/>
    </xf>
    <xf numFmtId="0" fontId="32" fillId="0" borderId="7" xfId="4" applyFont="1" applyBorder="1" applyAlignment="1">
      <alignment vertical="center" wrapText="1"/>
    </xf>
    <xf numFmtId="0" fontId="31" fillId="0" borderId="144" xfId="4" applyFont="1" applyBorder="1" applyAlignment="1">
      <alignment horizontal="left" vertical="center" wrapText="1"/>
    </xf>
    <xf numFmtId="49" fontId="31" fillId="0" borderId="118" xfId="4" applyNumberFormat="1" applyFont="1" applyBorder="1" applyAlignment="1">
      <alignment horizontal="center" vertical="center" wrapText="1"/>
    </xf>
    <xf numFmtId="10" fontId="34" fillId="0" borderId="118" xfId="1" applyNumberFormat="1" applyFont="1" applyFill="1" applyBorder="1" applyAlignment="1">
      <alignment horizontal="right" vertical="center"/>
    </xf>
    <xf numFmtId="0" fontId="35" fillId="0" borderId="178" xfId="4" applyFont="1" applyBorder="1" applyAlignment="1">
      <alignment vertical="center" wrapText="1"/>
    </xf>
    <xf numFmtId="0" fontId="32" fillId="0" borderId="178" xfId="4" applyFont="1" applyBorder="1" applyAlignment="1">
      <alignment vertical="center" wrapText="1"/>
    </xf>
    <xf numFmtId="49" fontId="31" fillId="0" borderId="162" xfId="4" applyNumberFormat="1" applyFont="1" applyBorder="1" applyAlignment="1">
      <alignment horizontal="center" vertical="center" wrapText="1"/>
    </xf>
    <xf numFmtId="3" fontId="36" fillId="0" borderId="178" xfId="3" applyNumberFormat="1" applyFont="1" applyFill="1" applyBorder="1" applyAlignment="1">
      <alignment horizontal="right" vertical="center"/>
    </xf>
    <xf numFmtId="4" fontId="31" fillId="0" borderId="164" xfId="2" applyNumberFormat="1" applyFont="1" applyBorder="1" applyAlignment="1">
      <alignment horizontal="right" vertical="center"/>
    </xf>
    <xf numFmtId="10" fontId="34" fillId="0" borderId="162" xfId="1" applyNumberFormat="1" applyFont="1" applyFill="1" applyBorder="1" applyAlignment="1">
      <alignment horizontal="right" vertical="center"/>
    </xf>
    <xf numFmtId="0" fontId="31" fillId="6" borderId="128" xfId="4" applyFont="1" applyFill="1" applyBorder="1" applyAlignment="1">
      <alignment horizontal="left" vertical="center" wrapText="1"/>
    </xf>
    <xf numFmtId="0" fontId="32" fillId="0" borderId="181" xfId="4" applyFont="1" applyBorder="1" applyAlignment="1">
      <alignment vertical="center" wrapText="1"/>
    </xf>
    <xf numFmtId="0" fontId="31" fillId="6" borderId="183" xfId="4" applyFont="1" applyFill="1" applyBorder="1" applyAlignment="1">
      <alignment horizontal="center" vertical="center" wrapText="1"/>
    </xf>
    <xf numFmtId="3" fontId="36" fillId="6" borderId="147" xfId="3" applyNumberFormat="1" applyFont="1" applyFill="1" applyBorder="1" applyAlignment="1">
      <alignment horizontal="right" vertical="center"/>
    </xf>
    <xf numFmtId="0" fontId="32" fillId="5" borderId="147" xfId="4" applyFont="1" applyFill="1" applyBorder="1" applyAlignment="1">
      <alignment horizontal="left" vertical="center" wrapText="1"/>
    </xf>
    <xf numFmtId="3" fontId="33" fillId="5" borderId="147" xfId="3" applyNumberFormat="1" applyFont="1" applyFill="1" applyBorder="1" applyAlignment="1">
      <alignment horizontal="right" vertical="center"/>
    </xf>
    <xf numFmtId="4" fontId="33" fillId="5" borderId="157" xfId="3" applyNumberFormat="1" applyFont="1" applyFill="1" applyBorder="1" applyAlignment="1">
      <alignment horizontal="right" vertical="center"/>
    </xf>
    <xf numFmtId="0" fontId="32" fillId="6" borderId="147" xfId="4" applyFont="1" applyFill="1" applyBorder="1" applyAlignment="1">
      <alignment vertical="center" wrapText="1"/>
    </xf>
    <xf numFmtId="3" fontId="36" fillId="6" borderId="183" xfId="3" applyNumberFormat="1" applyFont="1" applyFill="1" applyBorder="1" applyAlignment="1">
      <alignment horizontal="right" vertical="center"/>
    </xf>
    <xf numFmtId="0" fontId="31" fillId="0" borderId="185" xfId="4" applyFont="1" applyBorder="1" applyAlignment="1">
      <alignment horizontal="center" vertical="center" wrapText="1"/>
    </xf>
    <xf numFmtId="3" fontId="31" fillId="0" borderId="183" xfId="3" applyNumberFormat="1" applyFont="1" applyFill="1" applyBorder="1" applyAlignment="1">
      <alignment horizontal="right" vertical="center"/>
    </xf>
    <xf numFmtId="10" fontId="31" fillId="0" borderId="183" xfId="1" applyNumberFormat="1" applyFont="1" applyFill="1" applyBorder="1" applyAlignment="1">
      <alignment horizontal="right" vertical="center"/>
    </xf>
    <xf numFmtId="0" fontId="31" fillId="6" borderId="185" xfId="4" applyFont="1" applyFill="1" applyBorder="1" applyAlignment="1">
      <alignment horizontal="center" vertical="center" wrapText="1"/>
    </xf>
    <xf numFmtId="0" fontId="31" fillId="6" borderId="181" xfId="4" applyFont="1" applyFill="1" applyBorder="1" applyAlignment="1">
      <alignment horizontal="left" vertical="center" wrapText="1"/>
    </xf>
    <xf numFmtId="0" fontId="31" fillId="6" borderId="186" xfId="4" applyFont="1" applyFill="1" applyBorder="1" applyAlignment="1">
      <alignment horizontal="center" vertical="center" wrapText="1"/>
    </xf>
    <xf numFmtId="10" fontId="31" fillId="0" borderId="181" xfId="1" applyNumberFormat="1" applyFont="1" applyFill="1" applyBorder="1" applyAlignment="1">
      <alignment horizontal="right" vertical="center"/>
    </xf>
    <xf numFmtId="3" fontId="33" fillId="5" borderId="178" xfId="3" applyNumberFormat="1" applyFont="1" applyFill="1" applyBorder="1" applyAlignment="1">
      <alignment horizontal="right" vertical="center"/>
    </xf>
    <xf numFmtId="10" fontId="34" fillId="5" borderId="181" xfId="1" applyNumberFormat="1" applyFont="1" applyFill="1" applyBorder="1" applyAlignment="1">
      <alignment horizontal="right" vertical="center"/>
    </xf>
    <xf numFmtId="0" fontId="31" fillId="0" borderId="128" xfId="4" applyFont="1" applyBorder="1" applyAlignment="1">
      <alignment horizontal="left" vertical="center" wrapText="1"/>
    </xf>
    <xf numFmtId="0" fontId="31" fillId="6" borderId="180" xfId="4" applyFont="1" applyFill="1" applyBorder="1" applyAlignment="1">
      <alignment horizontal="left" vertical="center" wrapText="1"/>
    </xf>
    <xf numFmtId="3" fontId="36" fillId="6" borderId="118" xfId="3" applyNumberFormat="1" applyFont="1" applyFill="1" applyBorder="1" applyAlignment="1">
      <alignment horizontal="right" vertical="center"/>
    </xf>
    <xf numFmtId="0" fontId="15" fillId="0" borderId="147" xfId="4" applyFont="1" applyBorder="1" applyAlignment="1">
      <alignment vertical="center" wrapText="1"/>
    </xf>
    <xf numFmtId="0" fontId="5" fillId="3" borderId="143" xfId="4" applyFont="1" applyFill="1" applyBorder="1" applyAlignment="1">
      <alignment horizontal="center" vertical="center" wrapText="1"/>
    </xf>
    <xf numFmtId="0" fontId="8" fillId="3" borderId="142" xfId="4" applyFont="1" applyFill="1" applyBorder="1" applyAlignment="1">
      <alignment horizontal="left" vertical="center" wrapText="1"/>
    </xf>
    <xf numFmtId="0" fontId="10" fillId="3" borderId="84" xfId="4" applyFont="1" applyFill="1" applyBorder="1" applyAlignment="1">
      <alignment horizontal="left" vertical="center" wrapText="1"/>
    </xf>
    <xf numFmtId="0" fontId="15" fillId="0" borderId="7" xfId="4" applyFont="1" applyBorder="1" applyAlignment="1">
      <alignment vertical="center" wrapText="1"/>
    </xf>
    <xf numFmtId="0" fontId="5" fillId="0" borderId="180" xfId="4" applyFont="1" applyBorder="1" applyAlignment="1">
      <alignment horizontal="left" vertical="center" wrapText="1"/>
    </xf>
    <xf numFmtId="0" fontId="5" fillId="0" borderId="163" xfId="4" applyFont="1" applyBorder="1" applyAlignment="1">
      <alignment horizontal="left" vertical="center" wrapText="1"/>
    </xf>
    <xf numFmtId="0" fontId="15" fillId="0" borderId="181" xfId="4" applyFont="1" applyBorder="1" applyAlignment="1">
      <alignment vertical="center" wrapText="1"/>
    </xf>
    <xf numFmtId="0" fontId="15" fillId="0" borderId="118" xfId="4" applyFont="1" applyBorder="1" applyAlignment="1">
      <alignment horizontal="left" vertical="center" wrapText="1"/>
    </xf>
    <xf numFmtId="0" fontId="15" fillId="6" borderId="181" xfId="4" applyFont="1" applyFill="1" applyBorder="1" applyAlignment="1">
      <alignment horizontal="center" vertical="center" wrapText="1"/>
    </xf>
    <xf numFmtId="3" fontId="14" fillId="5" borderId="7" xfId="2" applyNumberFormat="1" applyFont="1" applyFill="1" applyBorder="1" applyAlignment="1">
      <alignment horizontal="right" vertical="center"/>
    </xf>
    <xf numFmtId="3" fontId="5" fillId="5" borderId="118" xfId="2" applyNumberFormat="1" applyFont="1" applyFill="1" applyBorder="1" applyAlignment="1">
      <alignment horizontal="right" vertical="center"/>
    </xf>
    <xf numFmtId="4" fontId="5" fillId="5" borderId="144" xfId="2" applyNumberFormat="1" applyFont="1" applyFill="1" applyBorder="1" applyAlignment="1">
      <alignment horizontal="right" vertical="center"/>
    </xf>
    <xf numFmtId="0" fontId="15" fillId="6" borderId="118" xfId="2" applyFont="1" applyFill="1" applyBorder="1" applyAlignment="1">
      <alignment vertical="center" wrapText="1"/>
    </xf>
    <xf numFmtId="0" fontId="5" fillId="0" borderId="118" xfId="2" quotePrefix="1" applyFont="1" applyBorder="1" applyAlignment="1">
      <alignment horizontal="center" vertical="center" wrapText="1"/>
    </xf>
    <xf numFmtId="49" fontId="8" fillId="18" borderId="178" xfId="6" applyNumberFormat="1" applyFont="1" applyFill="1" applyBorder="1" applyAlignment="1" applyProtection="1">
      <alignment horizontal="center" vertical="center" wrapText="1"/>
      <protection locked="0"/>
    </xf>
    <xf numFmtId="10" fontId="8" fillId="2" borderId="143" xfId="1" applyNumberFormat="1" applyFont="1" applyFill="1" applyBorder="1" applyAlignment="1" applyProtection="1">
      <alignment horizontal="right" vertical="center"/>
      <protection locked="0"/>
    </xf>
    <xf numFmtId="3" fontId="8" fillId="0" borderId="193" xfId="6" applyNumberFormat="1" applyFont="1" applyFill="1" applyBorder="1" applyAlignment="1" applyProtection="1">
      <alignment horizontal="right" vertical="center"/>
      <protection locked="0"/>
    </xf>
    <xf numFmtId="4" fontId="8" fillId="0" borderId="193" xfId="6" applyNumberFormat="1" applyFont="1" applyFill="1" applyBorder="1" applyAlignment="1" applyProtection="1">
      <alignment horizontal="right" vertical="center"/>
      <protection locked="0"/>
    </xf>
    <xf numFmtId="10" fontId="8" fillId="0" borderId="165" xfId="1" applyNumberFormat="1" applyFont="1" applyFill="1" applyBorder="1" applyAlignment="1" applyProtection="1">
      <alignment horizontal="right" vertical="center"/>
      <protection locked="0"/>
    </xf>
    <xf numFmtId="3" fontId="83" fillId="0" borderId="194" xfId="16" applyNumberFormat="1" applyFont="1" applyBorder="1" applyAlignment="1">
      <alignment horizontal="right" vertical="center"/>
    </xf>
    <xf numFmtId="3" fontId="5" fillId="0" borderId="194" xfId="16" applyNumberFormat="1" applyFont="1" applyBorder="1" applyAlignment="1">
      <alignment horizontal="right" vertical="center"/>
    </xf>
    <xf numFmtId="4" fontId="5" fillId="0" borderId="194" xfId="16" applyNumberFormat="1" applyFont="1" applyBorder="1" applyAlignment="1">
      <alignment horizontal="right" vertical="center"/>
    </xf>
    <xf numFmtId="10" fontId="5" fillId="0" borderId="105" xfId="1" applyNumberFormat="1" applyFont="1" applyFill="1" applyBorder="1" applyAlignment="1" applyProtection="1">
      <alignment horizontal="right" vertical="center"/>
      <protection locked="0"/>
    </xf>
    <xf numFmtId="49" fontId="12" fillId="20" borderId="195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96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97" xfId="6" applyNumberFormat="1" applyFont="1" applyFill="1" applyBorder="1" applyAlignment="1" applyProtection="1">
      <alignment horizontal="left" vertical="center" wrapText="1"/>
      <protection locked="0"/>
    </xf>
    <xf numFmtId="3" fontId="12" fillId="10" borderId="195" xfId="6" applyNumberFormat="1" applyFont="1" applyFill="1" applyBorder="1" applyAlignment="1" applyProtection="1">
      <alignment horizontal="right" vertical="center"/>
      <protection locked="0"/>
    </xf>
    <xf numFmtId="4" fontId="12" fillId="10" borderId="195" xfId="6" applyNumberFormat="1" applyFont="1" applyFill="1" applyBorder="1" applyAlignment="1" applyProtection="1">
      <alignment horizontal="right" vertical="center"/>
      <protection locked="0"/>
    </xf>
    <xf numFmtId="10" fontId="8" fillId="10" borderId="198" xfId="1" applyNumberFormat="1" applyFont="1" applyFill="1" applyBorder="1" applyAlignment="1" applyProtection="1">
      <alignment horizontal="right" vertical="center"/>
      <protection locked="0"/>
    </xf>
    <xf numFmtId="49" fontId="8" fillId="18" borderId="199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200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201" xfId="6" applyNumberFormat="1" applyFont="1" applyFill="1" applyBorder="1" applyAlignment="1" applyProtection="1">
      <alignment horizontal="left" vertical="center" wrapText="1"/>
      <protection locked="0"/>
    </xf>
    <xf numFmtId="3" fontId="8" fillId="19" borderId="199" xfId="6" applyNumberFormat="1" applyFont="1" applyFill="1" applyBorder="1" applyAlignment="1" applyProtection="1">
      <alignment horizontal="right" vertical="center"/>
      <protection locked="0"/>
    </xf>
    <xf numFmtId="4" fontId="8" fillId="19" borderId="199" xfId="6" applyNumberFormat="1" applyFont="1" applyFill="1" applyBorder="1" applyAlignment="1" applyProtection="1">
      <alignment horizontal="right" vertical="center"/>
      <protection locked="0"/>
    </xf>
    <xf numFmtId="3" fontId="5" fillId="0" borderId="203" xfId="6" applyNumberFormat="1" applyFont="1" applyFill="1" applyBorder="1" applyAlignment="1" applyProtection="1">
      <alignment vertical="center"/>
      <protection locked="0"/>
    </xf>
    <xf numFmtId="4" fontId="5" fillId="0" borderId="203" xfId="6" applyNumberFormat="1" applyFont="1" applyFill="1" applyBorder="1" applyAlignment="1" applyProtection="1">
      <alignment vertical="center"/>
      <protection locked="0"/>
    </xf>
    <xf numFmtId="10" fontId="5" fillId="0" borderId="204" xfId="1" applyNumberFormat="1" applyFont="1" applyFill="1" applyBorder="1" applyAlignment="1" applyProtection="1">
      <alignment horizontal="right" vertical="center"/>
      <protection locked="0"/>
    </xf>
    <xf numFmtId="3" fontId="13" fillId="0" borderId="206" xfId="6" applyNumberFormat="1" applyFont="1" applyFill="1" applyBorder="1" applyAlignment="1" applyProtection="1">
      <alignment horizontal="right" vertical="center"/>
      <protection locked="0"/>
    </xf>
    <xf numFmtId="4" fontId="13" fillId="0" borderId="206" xfId="6" applyNumberFormat="1" applyFont="1" applyFill="1" applyBorder="1" applyAlignment="1" applyProtection="1">
      <alignment horizontal="right" vertical="center"/>
      <protection locked="0"/>
    </xf>
    <xf numFmtId="10" fontId="5" fillId="0" borderId="207" xfId="1" applyNumberFormat="1" applyFont="1" applyFill="1" applyBorder="1" applyAlignment="1" applyProtection="1">
      <alignment horizontal="right" vertical="center"/>
      <protection locked="0"/>
    </xf>
    <xf numFmtId="49" fontId="5" fillId="17" borderId="20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0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10" xfId="7" applyNumberFormat="1" applyFont="1" applyBorder="1" applyAlignment="1">
      <alignment horizontal="right" vertical="center"/>
    </xf>
    <xf numFmtId="4" fontId="5" fillId="0" borderId="210" xfId="7" applyNumberFormat="1" applyFont="1" applyBorder="1" applyAlignment="1">
      <alignment horizontal="right" vertical="center"/>
    </xf>
    <xf numFmtId="10" fontId="5" fillId="0" borderId="211" xfId="1" applyNumberFormat="1" applyFont="1" applyFill="1" applyBorder="1" applyAlignment="1" applyProtection="1">
      <alignment horizontal="right" vertical="center"/>
      <protection locked="0"/>
    </xf>
    <xf numFmtId="49" fontId="5" fillId="17" borderId="21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1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14" xfId="7" applyNumberFormat="1" applyFont="1" applyBorder="1" applyAlignment="1">
      <alignment horizontal="right" vertical="center"/>
    </xf>
    <xf numFmtId="4" fontId="5" fillId="0" borderId="214" xfId="7" applyNumberFormat="1" applyFont="1" applyBorder="1" applyAlignment="1">
      <alignment horizontal="right" vertical="center"/>
    </xf>
    <xf numFmtId="10" fontId="5" fillId="0" borderId="215" xfId="1" applyNumberFormat="1" applyFont="1" applyFill="1" applyBorder="1" applyAlignment="1" applyProtection="1">
      <alignment horizontal="right" vertical="center"/>
      <protection locked="0"/>
    </xf>
    <xf numFmtId="49" fontId="5" fillId="17" borderId="21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1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18" xfId="7" applyNumberFormat="1" applyFont="1" applyBorder="1" applyAlignment="1">
      <alignment horizontal="right" vertical="center"/>
    </xf>
    <xf numFmtId="4" fontId="5" fillId="0" borderId="218" xfId="7" applyNumberFormat="1" applyFont="1" applyBorder="1" applyAlignment="1">
      <alignment horizontal="right" vertical="center"/>
    </xf>
    <xf numFmtId="10" fontId="5" fillId="0" borderId="219" xfId="1" applyNumberFormat="1" applyFont="1" applyFill="1" applyBorder="1" applyAlignment="1" applyProtection="1">
      <alignment horizontal="right" vertical="center"/>
      <protection locked="0"/>
    </xf>
    <xf numFmtId="49" fontId="5" fillId="17" borderId="22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2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22" xfId="7" applyNumberFormat="1" applyFont="1" applyBorder="1" applyAlignment="1">
      <alignment horizontal="right" vertical="center"/>
    </xf>
    <xf numFmtId="4" fontId="5" fillId="0" borderId="222" xfId="7" applyNumberFormat="1" applyFont="1" applyBorder="1" applyAlignment="1">
      <alignment horizontal="right" vertical="center"/>
    </xf>
    <xf numFmtId="10" fontId="5" fillId="0" borderId="223" xfId="1" applyNumberFormat="1" applyFont="1" applyFill="1" applyBorder="1" applyAlignment="1" applyProtection="1">
      <alignment horizontal="right" vertical="center"/>
      <protection locked="0"/>
    </xf>
    <xf numFmtId="49" fontId="5" fillId="17" borderId="22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2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26" xfId="7" applyNumberFormat="1" applyFont="1" applyBorder="1" applyAlignment="1">
      <alignment horizontal="right" vertical="center"/>
    </xf>
    <xf numFmtId="4" fontId="5" fillId="0" borderId="226" xfId="7" applyNumberFormat="1" applyFont="1" applyBorder="1" applyAlignment="1">
      <alignment horizontal="right" vertical="center"/>
    </xf>
    <xf numFmtId="10" fontId="5" fillId="0" borderId="227" xfId="1" applyNumberFormat="1" applyFont="1" applyFill="1" applyBorder="1" applyAlignment="1" applyProtection="1">
      <alignment horizontal="right" vertical="center"/>
      <protection locked="0"/>
    </xf>
    <xf numFmtId="49" fontId="5" fillId="17" borderId="22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2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30" xfId="6" applyNumberFormat="1" applyFont="1" applyFill="1" applyBorder="1" applyAlignment="1" applyProtection="1">
      <alignment horizontal="right" vertical="center"/>
      <protection locked="0"/>
    </xf>
    <xf numFmtId="4" fontId="5" fillId="0" borderId="230" xfId="6" applyNumberFormat="1" applyFont="1" applyFill="1" applyBorder="1" applyAlignment="1" applyProtection="1">
      <alignment horizontal="right" vertical="center"/>
      <protection locked="0"/>
    </xf>
    <xf numFmtId="10" fontId="5" fillId="0" borderId="231" xfId="1" applyNumberFormat="1" applyFont="1" applyFill="1" applyBorder="1" applyAlignment="1" applyProtection="1">
      <alignment horizontal="right" vertical="center"/>
      <protection locked="0"/>
    </xf>
    <xf numFmtId="49" fontId="5" fillId="17" borderId="23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3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33" xfId="6" applyNumberFormat="1" applyFont="1" applyFill="1" applyBorder="1" applyAlignment="1" applyProtection="1">
      <alignment horizontal="right" vertical="center"/>
      <protection locked="0"/>
    </xf>
    <xf numFmtId="3" fontId="16" fillId="0" borderId="233" xfId="6" applyNumberFormat="1" applyFont="1" applyFill="1" applyBorder="1" applyAlignment="1" applyProtection="1">
      <alignment horizontal="right" vertical="center"/>
      <protection locked="0"/>
    </xf>
    <xf numFmtId="4" fontId="16" fillId="0" borderId="233" xfId="6" applyNumberFormat="1" applyFont="1" applyFill="1" applyBorder="1" applyAlignment="1" applyProtection="1">
      <alignment horizontal="right" vertical="center"/>
      <protection locked="0"/>
    </xf>
    <xf numFmtId="10" fontId="16" fillId="0" borderId="234" xfId="1" applyNumberFormat="1" applyFont="1" applyFill="1" applyBorder="1" applyAlignment="1" applyProtection="1">
      <alignment horizontal="right" vertical="center"/>
      <protection locked="0"/>
    </xf>
    <xf numFmtId="3" fontId="13" fillId="0" borderId="237" xfId="6" applyNumberFormat="1" applyFont="1" applyFill="1" applyBorder="1" applyAlignment="1" applyProtection="1">
      <alignment horizontal="right" vertical="center"/>
      <protection locked="0"/>
    </xf>
    <xf numFmtId="4" fontId="13" fillId="0" borderId="237" xfId="6" applyNumberFormat="1" applyFont="1" applyFill="1" applyBorder="1" applyAlignment="1" applyProtection="1">
      <alignment horizontal="right" vertical="center"/>
      <protection locked="0"/>
    </xf>
    <xf numFmtId="10" fontId="5" fillId="0" borderId="238" xfId="1" applyNumberFormat="1" applyFont="1" applyFill="1" applyBorder="1" applyAlignment="1" applyProtection="1">
      <alignment horizontal="right" vertical="center"/>
      <protection locked="0"/>
    </xf>
    <xf numFmtId="49" fontId="5" fillId="17" borderId="23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4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4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4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7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4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4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4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46" xfId="6" applyNumberFormat="1" applyFont="1" applyFill="1" applyBorder="1" applyAlignment="1" applyProtection="1">
      <alignment horizontal="left" vertical="center" wrapText="1"/>
      <protection locked="0"/>
    </xf>
    <xf numFmtId="49" fontId="12" fillId="20" borderId="247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248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249" xfId="6" applyNumberFormat="1" applyFont="1" applyFill="1" applyBorder="1" applyAlignment="1" applyProtection="1">
      <alignment horizontal="left" vertical="center" wrapText="1"/>
      <protection locked="0"/>
    </xf>
    <xf numFmtId="3" fontId="12" fillId="10" borderId="247" xfId="6" applyNumberFormat="1" applyFont="1" applyFill="1" applyBorder="1" applyAlignment="1" applyProtection="1">
      <alignment horizontal="right" vertical="center"/>
      <protection locked="0"/>
    </xf>
    <xf numFmtId="4" fontId="12" fillId="10" borderId="247" xfId="6" applyNumberFormat="1" applyFont="1" applyFill="1" applyBorder="1" applyAlignment="1" applyProtection="1">
      <alignment horizontal="right" vertical="center"/>
      <protection locked="0"/>
    </xf>
    <xf numFmtId="10" fontId="8" fillId="10" borderId="250" xfId="1" applyNumberFormat="1" applyFont="1" applyFill="1" applyBorder="1" applyAlignment="1" applyProtection="1">
      <alignment horizontal="right" vertical="center"/>
      <protection locked="0"/>
    </xf>
    <xf numFmtId="0" fontId="84" fillId="6" borderId="178" xfId="0" applyFont="1" applyFill="1" applyBorder="1" applyAlignment="1">
      <alignment vertical="center" wrapText="1"/>
    </xf>
    <xf numFmtId="10" fontId="8" fillId="0" borderId="186" xfId="1" applyNumberFormat="1" applyFont="1" applyFill="1" applyBorder="1" applyAlignment="1" applyProtection="1">
      <alignment horizontal="right" vertical="center"/>
      <protection locked="0"/>
    </xf>
    <xf numFmtId="49" fontId="5" fillId="0" borderId="251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25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253" xfId="6" applyNumberFormat="1" applyFont="1" applyFill="1" applyBorder="1" applyAlignment="1" applyProtection="1">
      <alignment horizontal="center" vertical="center" wrapText="1"/>
      <protection locked="0"/>
    </xf>
    <xf numFmtId="0" fontId="84" fillId="6" borderId="7" xfId="0" applyFont="1" applyFill="1" applyBorder="1" applyAlignment="1">
      <alignment vertical="center" wrapText="1"/>
    </xf>
    <xf numFmtId="3" fontId="83" fillId="0" borderId="254" xfId="16" applyNumberFormat="1" applyFont="1" applyBorder="1" applyAlignment="1">
      <alignment horizontal="right" vertical="center"/>
    </xf>
    <xf numFmtId="3" fontId="5" fillId="0" borderId="254" xfId="16" applyNumberFormat="1" applyFont="1" applyBorder="1" applyAlignment="1">
      <alignment horizontal="right" vertical="center"/>
    </xf>
    <xf numFmtId="4" fontId="5" fillId="0" borderId="254" xfId="16" applyNumberFormat="1" applyFont="1" applyBorder="1" applyAlignment="1">
      <alignment horizontal="right" vertical="center"/>
    </xf>
    <xf numFmtId="10" fontId="5" fillId="0" borderId="165" xfId="1" applyNumberFormat="1" applyFont="1" applyFill="1" applyBorder="1" applyAlignment="1" applyProtection="1">
      <alignment horizontal="right" vertical="center"/>
      <protection locked="0"/>
    </xf>
    <xf numFmtId="3" fontId="5" fillId="0" borderId="255" xfId="6" applyNumberFormat="1" applyFont="1" applyFill="1" applyBorder="1" applyAlignment="1" applyProtection="1">
      <alignment horizontal="right" vertical="center"/>
      <protection locked="0"/>
    </xf>
    <xf numFmtId="4" fontId="5" fillId="0" borderId="255" xfId="6" applyNumberFormat="1" applyFont="1" applyFill="1" applyBorder="1" applyAlignment="1" applyProtection="1">
      <alignment horizontal="right" vertical="center"/>
      <protection locked="0"/>
    </xf>
    <xf numFmtId="10" fontId="5" fillId="0" borderId="256" xfId="1" applyNumberFormat="1" applyFont="1" applyFill="1" applyBorder="1" applyAlignment="1" applyProtection="1">
      <alignment horizontal="right" vertical="center"/>
      <protection locked="0"/>
    </xf>
    <xf numFmtId="49" fontId="5" fillId="17" borderId="25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58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259" xfId="1" applyNumberFormat="1" applyFont="1" applyFill="1" applyBorder="1" applyAlignment="1" applyProtection="1">
      <alignment horizontal="right" vertical="center"/>
      <protection locked="0"/>
    </xf>
    <xf numFmtId="49" fontId="5" fillId="17" borderId="26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6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6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6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64" xfId="6" applyNumberFormat="1" applyFont="1" applyFill="1" applyBorder="1" applyAlignment="1" applyProtection="1">
      <alignment horizontal="right" vertical="center"/>
      <protection locked="0"/>
    </xf>
    <xf numFmtId="4" fontId="5" fillId="0" borderId="264" xfId="6" applyNumberFormat="1" applyFont="1" applyFill="1" applyBorder="1" applyAlignment="1" applyProtection="1">
      <alignment horizontal="right" vertical="center"/>
      <protection locked="0"/>
    </xf>
    <xf numFmtId="10" fontId="5" fillId="0" borderId="265" xfId="1" applyNumberFormat="1" applyFont="1" applyFill="1" applyBorder="1" applyAlignment="1" applyProtection="1">
      <alignment horizontal="right" vertical="center"/>
      <protection locked="0"/>
    </xf>
    <xf numFmtId="49" fontId="5" fillId="17" borderId="26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6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68" xfId="6" applyNumberFormat="1" applyFont="1" applyFill="1" applyBorder="1" applyAlignment="1" applyProtection="1">
      <alignment horizontal="right" vertical="center"/>
      <protection locked="0"/>
    </xf>
    <xf numFmtId="4" fontId="5" fillId="0" borderId="268" xfId="6" applyNumberFormat="1" applyFont="1" applyFill="1" applyBorder="1" applyAlignment="1" applyProtection="1">
      <alignment horizontal="right" vertical="center"/>
      <protection locked="0"/>
    </xf>
    <xf numFmtId="10" fontId="5" fillId="0" borderId="269" xfId="1" applyNumberFormat="1" applyFont="1" applyFill="1" applyBorder="1" applyAlignment="1" applyProtection="1">
      <alignment horizontal="right" vertical="center"/>
      <protection locked="0"/>
    </xf>
    <xf numFmtId="3" fontId="5" fillId="0" borderId="271" xfId="6" applyNumberFormat="1" applyFont="1" applyFill="1" applyBorder="1" applyAlignment="1" applyProtection="1">
      <alignment horizontal="right" vertical="center"/>
      <protection locked="0"/>
    </xf>
    <xf numFmtId="3" fontId="16" fillId="0" borderId="271" xfId="6" applyNumberFormat="1" applyFont="1" applyFill="1" applyBorder="1" applyAlignment="1" applyProtection="1">
      <alignment horizontal="right" vertical="center"/>
      <protection locked="0"/>
    </xf>
    <xf numFmtId="4" fontId="16" fillId="0" borderId="271" xfId="6" applyNumberFormat="1" applyFont="1" applyFill="1" applyBorder="1" applyAlignment="1" applyProtection="1">
      <alignment horizontal="right" vertical="center"/>
      <protection locked="0"/>
    </xf>
    <xf numFmtId="10" fontId="16" fillId="0" borderId="272" xfId="1" applyNumberFormat="1" applyFont="1" applyFill="1" applyBorder="1" applyAlignment="1" applyProtection="1">
      <alignment horizontal="right" vertical="center"/>
      <protection locked="0"/>
    </xf>
    <xf numFmtId="3" fontId="5" fillId="0" borderId="274" xfId="6" applyNumberFormat="1" applyFont="1" applyFill="1" applyBorder="1" applyAlignment="1" applyProtection="1">
      <alignment horizontal="right" vertical="center"/>
      <protection locked="0"/>
    </xf>
    <xf numFmtId="4" fontId="5" fillId="0" borderId="274" xfId="6" applyNumberFormat="1" applyFont="1" applyFill="1" applyBorder="1" applyAlignment="1" applyProtection="1">
      <alignment horizontal="right" vertical="center"/>
      <protection locked="0"/>
    </xf>
    <xf numFmtId="10" fontId="5" fillId="0" borderId="275" xfId="1" applyNumberFormat="1" applyFont="1" applyFill="1" applyBorder="1" applyAlignment="1" applyProtection="1">
      <alignment horizontal="right" vertical="center"/>
      <protection locked="0"/>
    </xf>
    <xf numFmtId="49" fontId="5" fillId="17" borderId="27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7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78" xfId="6" applyNumberFormat="1" applyFont="1" applyFill="1" applyBorder="1" applyAlignment="1" applyProtection="1">
      <alignment horizontal="right" vertical="center"/>
      <protection locked="0"/>
    </xf>
    <xf numFmtId="4" fontId="5" fillId="0" borderId="278" xfId="6" applyNumberFormat="1" applyFont="1" applyFill="1" applyBorder="1" applyAlignment="1" applyProtection="1">
      <alignment horizontal="right" vertical="center"/>
      <protection locked="0"/>
    </xf>
    <xf numFmtId="10" fontId="5" fillId="0" borderId="279" xfId="1" applyNumberFormat="1" applyFont="1" applyFill="1" applyBorder="1" applyAlignment="1" applyProtection="1">
      <alignment horizontal="right" vertical="center"/>
      <protection locked="0"/>
    </xf>
    <xf numFmtId="3" fontId="16" fillId="0" borderId="278" xfId="6" applyNumberFormat="1" applyFont="1" applyFill="1" applyBorder="1" applyAlignment="1" applyProtection="1">
      <alignment horizontal="right" vertical="center"/>
      <protection locked="0"/>
    </xf>
    <xf numFmtId="4" fontId="16" fillId="0" borderId="278" xfId="6" applyNumberFormat="1" applyFont="1" applyFill="1" applyBorder="1" applyAlignment="1" applyProtection="1">
      <alignment horizontal="right" vertical="center"/>
      <protection locked="0"/>
    </xf>
    <xf numFmtId="10" fontId="16" fillId="0" borderId="279" xfId="1" applyNumberFormat="1" applyFont="1" applyFill="1" applyBorder="1" applyAlignment="1" applyProtection="1">
      <alignment horizontal="right" vertical="center"/>
      <protection locked="0"/>
    </xf>
    <xf numFmtId="3" fontId="8" fillId="0" borderId="283" xfId="6" applyNumberFormat="1" applyFont="1" applyFill="1" applyBorder="1" applyAlignment="1" applyProtection="1">
      <alignment horizontal="right" vertical="center"/>
      <protection locked="0"/>
    </xf>
    <xf numFmtId="4" fontId="8" fillId="0" borderId="283" xfId="6" applyNumberFormat="1" applyFont="1" applyFill="1" applyBorder="1" applyAlignment="1" applyProtection="1">
      <alignment horizontal="right" vertical="center"/>
      <protection locked="0"/>
    </xf>
    <xf numFmtId="10" fontId="8" fillId="0" borderId="284" xfId="1" applyNumberFormat="1" applyFont="1" applyFill="1" applyBorder="1" applyAlignment="1" applyProtection="1">
      <alignment horizontal="right" vertical="center"/>
      <protection locked="0"/>
    </xf>
    <xf numFmtId="3" fontId="5" fillId="0" borderId="286" xfId="6" applyNumberFormat="1" applyFont="1" applyFill="1" applyBorder="1" applyAlignment="1" applyProtection="1">
      <alignment horizontal="right" vertical="center"/>
      <protection locked="0"/>
    </xf>
    <xf numFmtId="4" fontId="5" fillId="0" borderId="286" xfId="6" applyNumberFormat="1" applyFont="1" applyFill="1" applyBorder="1" applyAlignment="1" applyProtection="1">
      <alignment horizontal="right" vertical="center"/>
      <protection locked="0"/>
    </xf>
    <xf numFmtId="10" fontId="5" fillId="0" borderId="287" xfId="1" applyNumberFormat="1" applyFont="1" applyFill="1" applyBorder="1" applyAlignment="1" applyProtection="1">
      <alignment horizontal="right" vertical="center"/>
      <protection locked="0"/>
    </xf>
    <xf numFmtId="49" fontId="5" fillId="17" borderId="28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8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290" xfId="6" applyNumberFormat="1" applyFont="1" applyFill="1" applyBorder="1" applyAlignment="1" applyProtection="1">
      <alignment horizontal="right" vertical="center"/>
      <protection locked="0"/>
    </xf>
    <xf numFmtId="4" fontId="5" fillId="0" borderId="290" xfId="6" applyNumberFormat="1" applyFont="1" applyFill="1" applyBorder="1" applyAlignment="1" applyProtection="1">
      <alignment horizontal="right" vertical="center"/>
      <protection locked="0"/>
    </xf>
    <xf numFmtId="10" fontId="5" fillId="0" borderId="291" xfId="1" applyNumberFormat="1" applyFont="1" applyFill="1" applyBorder="1" applyAlignment="1" applyProtection="1">
      <alignment horizontal="right" vertical="center"/>
      <protection locked="0"/>
    </xf>
    <xf numFmtId="3" fontId="5" fillId="0" borderId="294" xfId="6" applyNumberFormat="1" applyFont="1" applyFill="1" applyBorder="1" applyAlignment="1" applyProtection="1">
      <alignment horizontal="right" vertical="center"/>
      <protection locked="0"/>
    </xf>
    <xf numFmtId="4" fontId="5" fillId="0" borderId="294" xfId="6" applyNumberFormat="1" applyFont="1" applyFill="1" applyBorder="1" applyAlignment="1" applyProtection="1">
      <alignment horizontal="right" vertical="center"/>
      <protection locked="0"/>
    </xf>
    <xf numFmtId="10" fontId="5" fillId="0" borderId="295" xfId="1" applyNumberFormat="1" applyFont="1" applyFill="1" applyBorder="1" applyAlignment="1" applyProtection="1">
      <alignment horizontal="right" vertical="center"/>
      <protection locked="0"/>
    </xf>
    <xf numFmtId="49" fontId="5" fillId="0" borderId="296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297" xfId="6" applyNumberFormat="1" applyFont="1" applyFill="1" applyBorder="1" applyAlignment="1" applyProtection="1">
      <alignment horizontal="right" vertical="center"/>
      <protection locked="0"/>
    </xf>
    <xf numFmtId="4" fontId="5" fillId="0" borderId="297" xfId="6" applyNumberFormat="1" applyFont="1" applyFill="1" applyBorder="1" applyAlignment="1" applyProtection="1">
      <alignment horizontal="right" vertical="center"/>
      <protection locked="0"/>
    </xf>
    <xf numFmtId="10" fontId="5" fillId="0" borderId="298" xfId="1" applyNumberFormat="1" applyFont="1" applyFill="1" applyBorder="1" applyAlignment="1" applyProtection="1">
      <alignment horizontal="right" vertical="center"/>
      <protection locked="0"/>
    </xf>
    <xf numFmtId="49" fontId="5" fillId="0" borderId="29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00" xfId="6" applyNumberFormat="1" applyFont="1" applyFill="1" applyBorder="1" applyAlignment="1" applyProtection="1">
      <alignment horizontal="left" vertical="center" wrapText="1"/>
      <protection locked="0"/>
    </xf>
    <xf numFmtId="2" fontId="5" fillId="0" borderId="30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02" xfId="6" applyNumberFormat="1" applyFont="1" applyFill="1" applyBorder="1" applyAlignment="1" applyProtection="1">
      <alignment horizontal="right" vertical="center"/>
      <protection locked="0"/>
    </xf>
    <xf numFmtId="4" fontId="5" fillId="0" borderId="302" xfId="6" applyNumberFormat="1" applyFont="1" applyFill="1" applyBorder="1" applyAlignment="1" applyProtection="1">
      <alignment horizontal="right" vertical="center"/>
      <protection locked="0"/>
    </xf>
    <xf numFmtId="10" fontId="5" fillId="0" borderId="303" xfId="1" applyNumberFormat="1" applyFont="1" applyFill="1" applyBorder="1" applyAlignment="1" applyProtection="1">
      <alignment horizontal="right" vertical="center"/>
      <protection locked="0"/>
    </xf>
    <xf numFmtId="49" fontId="5" fillId="17" borderId="30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0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06" xfId="6" applyNumberFormat="1" applyFont="1" applyFill="1" applyBorder="1" applyAlignment="1" applyProtection="1">
      <alignment horizontal="right" vertical="center"/>
      <protection locked="0"/>
    </xf>
    <xf numFmtId="4" fontId="5" fillId="0" borderId="306" xfId="6" applyNumberFormat="1" applyFont="1" applyFill="1" applyBorder="1" applyAlignment="1" applyProtection="1">
      <alignment horizontal="right" vertical="center"/>
      <protection locked="0"/>
    </xf>
    <xf numFmtId="10" fontId="5" fillId="0" borderId="307" xfId="1" applyNumberFormat="1" applyFont="1" applyFill="1" applyBorder="1" applyAlignment="1" applyProtection="1">
      <alignment horizontal="right" vertical="center"/>
      <protection locked="0"/>
    </xf>
    <xf numFmtId="49" fontId="5" fillId="17" borderId="30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0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10" xfId="6" applyNumberFormat="1" applyFont="1" applyFill="1" applyBorder="1" applyAlignment="1" applyProtection="1">
      <alignment horizontal="right" vertical="center"/>
      <protection locked="0"/>
    </xf>
    <xf numFmtId="4" fontId="5" fillId="0" borderId="310" xfId="6" applyNumberFormat="1" applyFont="1" applyFill="1" applyBorder="1" applyAlignment="1" applyProtection="1">
      <alignment horizontal="right" vertical="center"/>
      <protection locked="0"/>
    </xf>
    <xf numFmtId="10" fontId="5" fillId="0" borderId="311" xfId="1" applyNumberFormat="1" applyFont="1" applyFill="1" applyBorder="1" applyAlignment="1" applyProtection="1">
      <alignment horizontal="right" vertical="center"/>
      <protection locked="0"/>
    </xf>
    <xf numFmtId="49" fontId="5" fillId="17" borderId="31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1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14" xfId="6" applyNumberFormat="1" applyFont="1" applyFill="1" applyBorder="1" applyAlignment="1" applyProtection="1">
      <alignment horizontal="right" vertical="center"/>
      <protection locked="0"/>
    </xf>
    <xf numFmtId="4" fontId="5" fillId="0" borderId="314" xfId="6" applyNumberFormat="1" applyFont="1" applyFill="1" applyBorder="1" applyAlignment="1" applyProtection="1">
      <alignment horizontal="right" vertical="center"/>
      <protection locked="0"/>
    </xf>
    <xf numFmtId="10" fontId="5" fillId="0" borderId="315" xfId="1" applyNumberFormat="1" applyFont="1" applyFill="1" applyBorder="1" applyAlignment="1" applyProtection="1">
      <alignment horizontal="right" vertical="center"/>
      <protection locked="0"/>
    </xf>
    <xf numFmtId="49" fontId="5" fillId="17" borderId="31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1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18" xfId="6" applyNumberFormat="1" applyFont="1" applyFill="1" applyBorder="1" applyAlignment="1" applyProtection="1">
      <alignment horizontal="right" vertical="center"/>
      <protection locked="0"/>
    </xf>
    <xf numFmtId="4" fontId="5" fillId="0" borderId="318" xfId="6" applyNumberFormat="1" applyFont="1" applyFill="1" applyBorder="1" applyAlignment="1" applyProtection="1">
      <alignment horizontal="right" vertical="center"/>
      <protection locked="0"/>
    </xf>
    <xf numFmtId="10" fontId="5" fillId="0" borderId="319" xfId="1" applyNumberFormat="1" applyFont="1" applyFill="1" applyBorder="1" applyAlignment="1" applyProtection="1">
      <alignment horizontal="right" vertical="center"/>
      <protection locked="0"/>
    </xf>
    <xf numFmtId="49" fontId="5" fillId="17" borderId="32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2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22" xfId="6" applyNumberFormat="1" applyFont="1" applyFill="1" applyBorder="1" applyAlignment="1" applyProtection="1">
      <alignment horizontal="right" vertical="center"/>
      <protection locked="0"/>
    </xf>
    <xf numFmtId="4" fontId="5" fillId="0" borderId="322" xfId="6" applyNumberFormat="1" applyFont="1" applyFill="1" applyBorder="1" applyAlignment="1" applyProtection="1">
      <alignment horizontal="right" vertical="center"/>
      <protection locked="0"/>
    </xf>
    <xf numFmtId="10" fontId="5" fillId="0" borderId="323" xfId="1" applyNumberFormat="1" applyFont="1" applyFill="1" applyBorder="1" applyAlignment="1" applyProtection="1">
      <alignment horizontal="right" vertical="center"/>
      <protection locked="0"/>
    </xf>
    <xf numFmtId="49" fontId="5" fillId="17" borderId="32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2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26" xfId="6" applyNumberFormat="1" applyFont="1" applyFill="1" applyBorder="1" applyAlignment="1" applyProtection="1">
      <alignment horizontal="right" vertical="center"/>
      <protection locked="0"/>
    </xf>
    <xf numFmtId="4" fontId="5" fillId="0" borderId="326" xfId="6" applyNumberFormat="1" applyFont="1" applyFill="1" applyBorder="1" applyAlignment="1" applyProtection="1">
      <alignment horizontal="right" vertical="center"/>
      <protection locked="0"/>
    </xf>
    <xf numFmtId="10" fontId="5" fillId="0" borderId="327" xfId="1" applyNumberFormat="1" applyFont="1" applyFill="1" applyBorder="1" applyAlignment="1" applyProtection="1">
      <alignment horizontal="right" vertical="center"/>
      <protection locked="0"/>
    </xf>
    <xf numFmtId="49" fontId="5" fillId="17" borderId="32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2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30" xfId="6" applyNumberFormat="1" applyFont="1" applyFill="1" applyBorder="1" applyAlignment="1" applyProtection="1">
      <alignment horizontal="right" vertical="center"/>
      <protection locked="0"/>
    </xf>
    <xf numFmtId="4" fontId="5" fillId="0" borderId="330" xfId="6" applyNumberFormat="1" applyFont="1" applyFill="1" applyBorder="1" applyAlignment="1" applyProtection="1">
      <alignment horizontal="right" vertical="center"/>
      <protection locked="0"/>
    </xf>
    <xf numFmtId="10" fontId="5" fillId="0" borderId="331" xfId="1" applyNumberFormat="1" applyFont="1" applyFill="1" applyBorder="1" applyAlignment="1" applyProtection="1">
      <alignment horizontal="right" vertical="center"/>
      <protection locked="0"/>
    </xf>
    <xf numFmtId="49" fontId="5" fillId="17" borderId="33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3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34" xfId="6" applyNumberFormat="1" applyFont="1" applyFill="1" applyBorder="1" applyAlignment="1" applyProtection="1">
      <alignment horizontal="right" vertical="center"/>
      <protection locked="0"/>
    </xf>
    <xf numFmtId="4" fontId="5" fillId="0" borderId="334" xfId="6" applyNumberFormat="1" applyFont="1" applyFill="1" applyBorder="1" applyAlignment="1" applyProtection="1">
      <alignment horizontal="right" vertical="center"/>
      <protection locked="0"/>
    </xf>
    <xf numFmtId="10" fontId="5" fillId="0" borderId="335" xfId="1" applyNumberFormat="1" applyFont="1" applyFill="1" applyBorder="1" applyAlignment="1" applyProtection="1">
      <alignment horizontal="right" vertical="center"/>
      <protection locked="0"/>
    </xf>
    <xf numFmtId="49" fontId="5" fillId="17" borderId="33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3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38" xfId="6" applyNumberFormat="1" applyFont="1" applyFill="1" applyBorder="1" applyAlignment="1" applyProtection="1">
      <alignment horizontal="right" vertical="center"/>
      <protection locked="0"/>
    </xf>
    <xf numFmtId="4" fontId="5" fillId="0" borderId="338" xfId="6" applyNumberFormat="1" applyFont="1" applyFill="1" applyBorder="1" applyAlignment="1" applyProtection="1">
      <alignment horizontal="right" vertical="center"/>
      <protection locked="0"/>
    </xf>
    <xf numFmtId="10" fontId="5" fillId="0" borderId="339" xfId="1" applyNumberFormat="1" applyFont="1" applyFill="1" applyBorder="1" applyAlignment="1" applyProtection="1">
      <alignment horizontal="right" vertical="center"/>
      <protection locked="0"/>
    </xf>
    <xf numFmtId="49" fontId="5" fillId="17" borderId="34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4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42" xfId="6" applyNumberFormat="1" applyFont="1" applyFill="1" applyBorder="1" applyAlignment="1" applyProtection="1">
      <alignment horizontal="right" vertical="center"/>
      <protection locked="0"/>
    </xf>
    <xf numFmtId="4" fontId="5" fillId="0" borderId="342" xfId="6" applyNumberFormat="1" applyFont="1" applyFill="1" applyBorder="1" applyAlignment="1" applyProtection="1">
      <alignment horizontal="right" vertical="center"/>
      <protection locked="0"/>
    </xf>
    <xf numFmtId="10" fontId="5" fillId="0" borderId="343" xfId="1" applyNumberFormat="1" applyFont="1" applyFill="1" applyBorder="1" applyAlignment="1" applyProtection="1">
      <alignment horizontal="right" vertical="center"/>
      <protection locked="0"/>
    </xf>
    <xf numFmtId="49" fontId="5" fillId="17" borderId="34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4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46" xfId="6" applyNumberFormat="1" applyFont="1" applyFill="1" applyBorder="1" applyAlignment="1" applyProtection="1">
      <alignment horizontal="right" vertical="center"/>
      <protection locked="0"/>
    </xf>
    <xf numFmtId="4" fontId="5" fillId="0" borderId="346" xfId="6" applyNumberFormat="1" applyFont="1" applyFill="1" applyBorder="1" applyAlignment="1" applyProtection="1">
      <alignment horizontal="right" vertical="center"/>
      <protection locked="0"/>
    </xf>
    <xf numFmtId="10" fontId="5" fillId="0" borderId="347" xfId="1" applyNumberFormat="1" applyFont="1" applyFill="1" applyBorder="1" applyAlignment="1" applyProtection="1">
      <alignment horizontal="right" vertical="center"/>
      <protection locked="0"/>
    </xf>
    <xf numFmtId="49" fontId="5" fillId="17" borderId="34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4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50" xfId="6" applyNumberFormat="1" applyFont="1" applyFill="1" applyBorder="1" applyAlignment="1" applyProtection="1">
      <alignment horizontal="right" vertical="center"/>
      <protection locked="0"/>
    </xf>
    <xf numFmtId="4" fontId="5" fillId="0" borderId="350" xfId="6" applyNumberFormat="1" applyFont="1" applyFill="1" applyBorder="1" applyAlignment="1" applyProtection="1">
      <alignment horizontal="right" vertical="center"/>
      <protection locked="0"/>
    </xf>
    <xf numFmtId="10" fontId="5" fillId="0" borderId="351" xfId="1" applyNumberFormat="1" applyFont="1" applyFill="1" applyBorder="1" applyAlignment="1" applyProtection="1">
      <alignment horizontal="right" vertical="center"/>
      <protection locked="0"/>
    </xf>
    <xf numFmtId="49" fontId="5" fillId="17" borderId="35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5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54" xfId="6" applyNumberFormat="1" applyFont="1" applyFill="1" applyBorder="1" applyAlignment="1" applyProtection="1">
      <alignment horizontal="right" vertical="center"/>
      <protection locked="0"/>
    </xf>
    <xf numFmtId="4" fontId="5" fillId="0" borderId="354" xfId="6" applyNumberFormat="1" applyFont="1" applyFill="1" applyBorder="1" applyAlignment="1" applyProtection="1">
      <alignment horizontal="right" vertical="center"/>
      <protection locked="0"/>
    </xf>
    <xf numFmtId="10" fontId="5" fillId="0" borderId="355" xfId="1" applyNumberFormat="1" applyFont="1" applyFill="1" applyBorder="1" applyAlignment="1" applyProtection="1">
      <alignment horizontal="right" vertical="center"/>
      <protection locked="0"/>
    </xf>
    <xf numFmtId="49" fontId="5" fillId="17" borderId="35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5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58" xfId="6" applyNumberFormat="1" applyFont="1" applyFill="1" applyBorder="1" applyAlignment="1" applyProtection="1">
      <alignment horizontal="right" vertical="center"/>
      <protection locked="0"/>
    </xf>
    <xf numFmtId="4" fontId="5" fillId="0" borderId="358" xfId="6" applyNumberFormat="1" applyFont="1" applyFill="1" applyBorder="1" applyAlignment="1" applyProtection="1">
      <alignment horizontal="right" vertical="center"/>
      <protection locked="0"/>
    </xf>
    <xf numFmtId="10" fontId="5" fillId="0" borderId="359" xfId="1" applyNumberFormat="1" applyFont="1" applyFill="1" applyBorder="1" applyAlignment="1" applyProtection="1">
      <alignment horizontal="right" vertical="center"/>
      <protection locked="0"/>
    </xf>
    <xf numFmtId="49" fontId="5" fillId="17" borderId="36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6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62" xfId="6" applyNumberFormat="1" applyFont="1" applyFill="1" applyBorder="1" applyAlignment="1" applyProtection="1">
      <alignment horizontal="right" vertical="center"/>
      <protection locked="0"/>
    </xf>
    <xf numFmtId="4" fontId="5" fillId="0" borderId="362" xfId="6" applyNumberFormat="1" applyFont="1" applyFill="1" applyBorder="1" applyAlignment="1" applyProtection="1">
      <alignment horizontal="right" vertical="center"/>
      <protection locked="0"/>
    </xf>
    <xf numFmtId="10" fontId="5" fillId="0" borderId="363" xfId="1" applyNumberFormat="1" applyFont="1" applyFill="1" applyBorder="1" applyAlignment="1" applyProtection="1">
      <alignment horizontal="right" vertical="center"/>
      <protection locked="0"/>
    </xf>
    <xf numFmtId="49" fontId="5" fillId="17" borderId="36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6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66" xfId="6" applyNumberFormat="1" applyFont="1" applyFill="1" applyBorder="1" applyAlignment="1" applyProtection="1">
      <alignment horizontal="right" vertical="center"/>
      <protection locked="0"/>
    </xf>
    <xf numFmtId="4" fontId="5" fillId="0" borderId="366" xfId="6" applyNumberFormat="1" applyFont="1" applyFill="1" applyBorder="1" applyAlignment="1" applyProtection="1">
      <alignment horizontal="right" vertical="center"/>
      <protection locked="0"/>
    </xf>
    <xf numFmtId="10" fontId="5" fillId="0" borderId="367" xfId="1" applyNumberFormat="1" applyFont="1" applyFill="1" applyBorder="1" applyAlignment="1" applyProtection="1">
      <alignment horizontal="right" vertical="center"/>
      <protection locked="0"/>
    </xf>
    <xf numFmtId="49" fontId="5" fillId="17" borderId="36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6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70" xfId="6" applyNumberFormat="1" applyFont="1" applyFill="1" applyBorder="1" applyAlignment="1" applyProtection="1">
      <alignment horizontal="right" vertical="center"/>
      <protection locked="0"/>
    </xf>
    <xf numFmtId="4" fontId="5" fillId="0" borderId="370" xfId="6" applyNumberFormat="1" applyFont="1" applyFill="1" applyBorder="1" applyAlignment="1" applyProtection="1">
      <alignment horizontal="right" vertical="center"/>
      <protection locked="0"/>
    </xf>
    <xf numFmtId="10" fontId="5" fillId="0" borderId="371" xfId="1" applyNumberFormat="1" applyFont="1" applyFill="1" applyBorder="1" applyAlignment="1" applyProtection="1">
      <alignment horizontal="right" vertical="center"/>
      <protection locked="0"/>
    </xf>
    <xf numFmtId="49" fontId="5" fillId="17" borderId="37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7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74" xfId="6" applyNumberFormat="1" applyFont="1" applyFill="1" applyBorder="1" applyAlignment="1" applyProtection="1">
      <alignment horizontal="right" vertical="center"/>
      <protection locked="0"/>
    </xf>
    <xf numFmtId="4" fontId="5" fillId="0" borderId="374" xfId="6" applyNumberFormat="1" applyFont="1" applyFill="1" applyBorder="1" applyAlignment="1" applyProtection="1">
      <alignment horizontal="right" vertical="center"/>
      <protection locked="0"/>
    </xf>
    <xf numFmtId="10" fontId="5" fillId="0" borderId="375" xfId="1" applyNumberFormat="1" applyFont="1" applyFill="1" applyBorder="1" applyAlignment="1" applyProtection="1">
      <alignment horizontal="right" vertical="center"/>
      <protection locked="0"/>
    </xf>
    <xf numFmtId="49" fontId="5" fillId="17" borderId="37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7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78" xfId="6" applyNumberFormat="1" applyFont="1" applyFill="1" applyBorder="1" applyAlignment="1" applyProtection="1">
      <alignment horizontal="right" vertical="center"/>
      <protection locked="0"/>
    </xf>
    <xf numFmtId="4" fontId="5" fillId="0" borderId="378" xfId="6" applyNumberFormat="1" applyFont="1" applyFill="1" applyBorder="1" applyAlignment="1" applyProtection="1">
      <alignment horizontal="right" vertical="center"/>
      <protection locked="0"/>
    </xf>
    <xf numFmtId="10" fontId="5" fillId="0" borderId="379" xfId="1" applyNumberFormat="1" applyFont="1" applyFill="1" applyBorder="1" applyAlignment="1" applyProtection="1">
      <alignment horizontal="right" vertical="center"/>
      <protection locked="0"/>
    </xf>
    <xf numFmtId="49" fontId="5" fillId="17" borderId="38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8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82" xfId="6" applyNumberFormat="1" applyFont="1" applyFill="1" applyBorder="1" applyAlignment="1" applyProtection="1">
      <alignment horizontal="right" vertical="center"/>
      <protection locked="0"/>
    </xf>
    <xf numFmtId="4" fontId="5" fillId="0" borderId="382" xfId="6" applyNumberFormat="1" applyFont="1" applyFill="1" applyBorder="1" applyAlignment="1" applyProtection="1">
      <alignment horizontal="right" vertical="center"/>
      <protection locked="0"/>
    </xf>
    <xf numFmtId="10" fontId="5" fillId="0" borderId="383" xfId="1" applyNumberFormat="1" applyFont="1" applyFill="1" applyBorder="1" applyAlignment="1" applyProtection="1">
      <alignment horizontal="right" vertical="center"/>
      <protection locked="0"/>
    </xf>
    <xf numFmtId="49" fontId="5" fillId="17" borderId="38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8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86" xfId="6" applyNumberFormat="1" applyFont="1" applyFill="1" applyBorder="1" applyAlignment="1" applyProtection="1">
      <alignment horizontal="right" vertical="center"/>
      <protection locked="0"/>
    </xf>
    <xf numFmtId="4" fontId="5" fillId="0" borderId="386" xfId="6" applyNumberFormat="1" applyFont="1" applyFill="1" applyBorder="1" applyAlignment="1" applyProtection="1">
      <alignment horizontal="right" vertical="center"/>
      <protection locked="0"/>
    </xf>
    <xf numFmtId="10" fontId="5" fillId="0" borderId="387" xfId="1" applyNumberFormat="1" applyFont="1" applyFill="1" applyBorder="1" applyAlignment="1" applyProtection="1">
      <alignment horizontal="right" vertical="center"/>
      <protection locked="0"/>
    </xf>
    <xf numFmtId="49" fontId="5" fillId="17" borderId="38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8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90" xfId="6" applyNumberFormat="1" applyFont="1" applyFill="1" applyBorder="1" applyAlignment="1" applyProtection="1">
      <alignment horizontal="right" vertical="center"/>
      <protection locked="0"/>
    </xf>
    <xf numFmtId="4" fontId="5" fillId="0" borderId="390" xfId="6" applyNumberFormat="1" applyFont="1" applyFill="1" applyBorder="1" applyAlignment="1" applyProtection="1">
      <alignment horizontal="right" vertical="center"/>
      <protection locked="0"/>
    </xf>
    <xf numFmtId="10" fontId="5" fillId="0" borderId="391" xfId="1" applyNumberFormat="1" applyFont="1" applyFill="1" applyBorder="1" applyAlignment="1" applyProtection="1">
      <alignment horizontal="right" vertical="center"/>
      <protection locked="0"/>
    </xf>
    <xf numFmtId="49" fontId="5" fillId="17" borderId="39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9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94" xfId="6" applyNumberFormat="1" applyFont="1" applyFill="1" applyBorder="1" applyAlignment="1" applyProtection="1">
      <alignment horizontal="right" vertical="center"/>
      <protection locked="0"/>
    </xf>
    <xf numFmtId="4" fontId="5" fillId="0" borderId="394" xfId="6" applyNumberFormat="1" applyFont="1" applyFill="1" applyBorder="1" applyAlignment="1" applyProtection="1">
      <alignment horizontal="right" vertical="center"/>
      <protection locked="0"/>
    </xf>
    <xf numFmtId="10" fontId="5" fillId="0" borderId="395" xfId="1" applyNumberFormat="1" applyFont="1" applyFill="1" applyBorder="1" applyAlignment="1" applyProtection="1">
      <alignment horizontal="right" vertical="center"/>
      <protection locked="0"/>
    </xf>
    <xf numFmtId="49" fontId="5" fillId="17" borderId="39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9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398" xfId="6" applyNumberFormat="1" applyFont="1" applyFill="1" applyBorder="1" applyAlignment="1" applyProtection="1">
      <alignment horizontal="right" vertical="center"/>
      <protection locked="0"/>
    </xf>
    <xf numFmtId="4" fontId="5" fillId="0" borderId="398" xfId="6" applyNumberFormat="1" applyFont="1" applyFill="1" applyBorder="1" applyAlignment="1" applyProtection="1">
      <alignment horizontal="right" vertical="center"/>
      <protection locked="0"/>
    </xf>
    <xf numFmtId="10" fontId="5" fillId="0" borderId="399" xfId="1" applyNumberFormat="1" applyFont="1" applyFill="1" applyBorder="1" applyAlignment="1" applyProtection="1">
      <alignment horizontal="right" vertical="center"/>
      <protection locked="0"/>
    </xf>
    <xf numFmtId="49" fontId="5" fillId="0" borderId="178" xfId="6" applyNumberFormat="1" applyFont="1" applyFill="1" applyBorder="1" applyAlignment="1" applyProtection="1">
      <alignment vertical="center" wrapText="1"/>
      <protection locked="0"/>
    </xf>
    <xf numFmtId="10" fontId="8" fillId="10" borderId="247" xfId="1" applyNumberFormat="1" applyFont="1" applyFill="1" applyBorder="1" applyAlignment="1" applyProtection="1">
      <alignment horizontal="right" vertical="center"/>
      <protection locked="0"/>
    </xf>
    <xf numFmtId="3" fontId="5" fillId="0" borderId="400" xfId="6" applyNumberFormat="1" applyFont="1" applyFill="1" applyBorder="1" applyAlignment="1" applyProtection="1">
      <alignment horizontal="right" vertical="center"/>
      <protection locked="0"/>
    </xf>
    <xf numFmtId="4" fontId="5" fillId="0" borderId="400" xfId="6" applyNumberFormat="1" applyFont="1" applyFill="1" applyBorder="1" applyAlignment="1" applyProtection="1">
      <alignment horizontal="right" vertical="center"/>
      <protection locked="0"/>
    </xf>
    <xf numFmtId="10" fontId="5" fillId="0" borderId="10" xfId="1" applyNumberFormat="1" applyFont="1" applyFill="1" applyBorder="1" applyAlignment="1" applyProtection="1">
      <alignment horizontal="right" vertical="center"/>
      <protection locked="0"/>
    </xf>
    <xf numFmtId="3" fontId="8" fillId="0" borderId="401" xfId="6" applyNumberFormat="1" applyFont="1" applyFill="1" applyBorder="1" applyAlignment="1" applyProtection="1">
      <alignment horizontal="right" vertical="center"/>
      <protection locked="0"/>
    </xf>
    <xf numFmtId="4" fontId="8" fillId="0" borderId="401" xfId="6" applyNumberFormat="1" applyFont="1" applyFill="1" applyBorder="1" applyAlignment="1" applyProtection="1">
      <alignment horizontal="right" vertical="center"/>
      <protection locked="0"/>
    </xf>
    <xf numFmtId="49" fontId="5" fillId="0" borderId="40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03" xfId="6" applyNumberFormat="1" applyFont="1" applyFill="1" applyBorder="1" applyAlignment="1" applyProtection="1">
      <alignment horizontal="right" vertical="center"/>
      <protection locked="0"/>
    </xf>
    <xf numFmtId="4" fontId="5" fillId="0" borderId="403" xfId="6" applyNumberFormat="1" applyFont="1" applyFill="1" applyBorder="1" applyAlignment="1" applyProtection="1">
      <alignment horizontal="right" vertical="center"/>
      <protection locked="0"/>
    </xf>
    <xf numFmtId="3" fontId="13" fillId="0" borderId="403" xfId="6" applyNumberFormat="1" applyFont="1" applyFill="1" applyBorder="1" applyAlignment="1" applyProtection="1">
      <alignment horizontal="right" vertical="center"/>
      <protection locked="0"/>
    </xf>
    <xf numFmtId="4" fontId="13" fillId="0" borderId="403" xfId="6" applyNumberFormat="1" applyFont="1" applyFill="1" applyBorder="1" applyAlignment="1" applyProtection="1">
      <alignment horizontal="right" vertical="center"/>
      <protection locked="0"/>
    </xf>
    <xf numFmtId="49" fontId="5" fillId="0" borderId="404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05" xfId="0" applyFont="1" applyBorder="1" applyAlignment="1">
      <alignment vertical="center" wrapText="1"/>
    </xf>
    <xf numFmtId="10" fontId="5" fillId="0" borderId="406" xfId="1" applyNumberFormat="1" applyFont="1" applyFill="1" applyBorder="1" applyAlignment="1" applyProtection="1">
      <alignment horizontal="right" vertical="center"/>
      <protection locked="0"/>
    </xf>
    <xf numFmtId="49" fontId="5" fillId="0" borderId="407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08" xfId="0" applyFont="1" applyBorder="1" applyAlignment="1">
      <alignment vertical="center" wrapText="1"/>
    </xf>
    <xf numFmtId="49" fontId="5" fillId="0" borderId="409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02" xfId="0" applyFont="1" applyBorder="1" applyAlignment="1">
      <alignment vertical="center" wrapText="1"/>
    </xf>
    <xf numFmtId="49" fontId="5" fillId="0" borderId="41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411" xfId="0" applyFont="1" applyBorder="1" applyAlignment="1">
      <alignment vertical="center" wrapText="1"/>
    </xf>
    <xf numFmtId="3" fontId="5" fillId="0" borderId="412" xfId="6" applyNumberFormat="1" applyFont="1" applyFill="1" applyBorder="1" applyAlignment="1" applyProtection="1">
      <alignment horizontal="right" vertical="center"/>
      <protection locked="0"/>
    </xf>
    <xf numFmtId="4" fontId="5" fillId="0" borderId="412" xfId="6" applyNumberFormat="1" applyFont="1" applyFill="1" applyBorder="1" applyAlignment="1" applyProtection="1">
      <alignment horizontal="right" vertical="center"/>
      <protection locked="0"/>
    </xf>
    <xf numFmtId="10" fontId="8" fillId="0" borderId="406" xfId="1" applyNumberFormat="1" applyFont="1" applyFill="1" applyBorder="1" applyAlignment="1" applyProtection="1">
      <alignment horizontal="right" vertical="center"/>
      <protection locked="0"/>
    </xf>
    <xf numFmtId="49" fontId="5" fillId="17" borderId="40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0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0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16" xfId="6" applyNumberFormat="1" applyFont="1" applyFill="1" applyBorder="1" applyAlignment="1" applyProtection="1">
      <alignment horizontal="right" vertical="center"/>
      <protection locked="0"/>
    </xf>
    <xf numFmtId="3" fontId="16" fillId="0" borderId="416" xfId="6" applyNumberFormat="1" applyFont="1" applyFill="1" applyBorder="1" applyAlignment="1" applyProtection="1">
      <alignment horizontal="right" vertical="center"/>
      <protection locked="0"/>
    </xf>
    <xf numFmtId="4" fontId="16" fillId="0" borderId="416" xfId="6" applyNumberFormat="1" applyFont="1" applyFill="1" applyBorder="1" applyAlignment="1" applyProtection="1">
      <alignment horizontal="right" vertical="center"/>
      <protection locked="0"/>
    </xf>
    <xf numFmtId="10" fontId="16" fillId="0" borderId="417" xfId="1" applyNumberFormat="1" applyFont="1" applyFill="1" applyBorder="1" applyAlignment="1" applyProtection="1">
      <alignment horizontal="right" vertical="center"/>
      <protection locked="0"/>
    </xf>
    <xf numFmtId="10" fontId="5" fillId="0" borderId="417" xfId="1" applyNumberFormat="1" applyFont="1" applyFill="1" applyBorder="1" applyAlignment="1" applyProtection="1">
      <alignment horizontal="right" vertical="center"/>
      <protection locked="0"/>
    </xf>
    <xf numFmtId="49" fontId="5" fillId="17" borderId="418" xfId="6" applyNumberFormat="1" applyFont="1" applyFill="1" applyBorder="1" applyAlignment="1" applyProtection="1">
      <alignment horizontal="center" vertical="center" wrapText="1"/>
      <protection locked="0"/>
    </xf>
    <xf numFmtId="3" fontId="16" fillId="0" borderId="403" xfId="6" applyNumberFormat="1" applyFont="1" applyFill="1" applyBorder="1" applyAlignment="1" applyProtection="1">
      <alignment horizontal="right" vertical="center"/>
      <protection locked="0"/>
    </xf>
    <xf numFmtId="4" fontId="16" fillId="0" borderId="403" xfId="6" applyNumberFormat="1" applyFont="1" applyFill="1" applyBorder="1" applyAlignment="1" applyProtection="1">
      <alignment horizontal="right" vertical="center"/>
      <protection locked="0"/>
    </xf>
    <xf numFmtId="3" fontId="8" fillId="0" borderId="403" xfId="6" applyNumberFormat="1" applyFont="1" applyFill="1" applyBorder="1" applyAlignment="1" applyProtection="1">
      <alignment horizontal="right" vertical="center"/>
      <protection locked="0"/>
    </xf>
    <xf numFmtId="4" fontId="8" fillId="0" borderId="403" xfId="6" applyNumberFormat="1" applyFont="1" applyFill="1" applyBorder="1" applyAlignment="1" applyProtection="1">
      <alignment horizontal="right" vertical="center"/>
      <protection locked="0"/>
    </xf>
    <xf numFmtId="10" fontId="8" fillId="0" borderId="417" xfId="1" applyNumberFormat="1" applyFont="1" applyFill="1" applyBorder="1" applyAlignment="1" applyProtection="1">
      <alignment horizontal="right" vertical="center"/>
      <protection locked="0"/>
    </xf>
    <xf numFmtId="49" fontId="5" fillId="17" borderId="4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20" xfId="6" applyNumberFormat="1" applyFont="1" applyFill="1" applyBorder="1" applyAlignment="1" applyProtection="1">
      <alignment horizontal="left" vertical="center" wrapText="1"/>
      <protection locked="0"/>
    </xf>
    <xf numFmtId="3" fontId="8" fillId="0" borderId="422" xfId="6" applyNumberFormat="1" applyFont="1" applyFill="1" applyBorder="1" applyAlignment="1" applyProtection="1">
      <alignment horizontal="right" vertical="center"/>
      <protection locked="0"/>
    </xf>
    <xf numFmtId="4" fontId="8" fillId="0" borderId="422" xfId="6" applyNumberFormat="1" applyFont="1" applyFill="1" applyBorder="1" applyAlignment="1" applyProtection="1">
      <alignment horizontal="right" vertical="center"/>
      <protection locked="0"/>
    </xf>
    <xf numFmtId="10" fontId="8" fillId="0" borderId="423" xfId="1" applyNumberFormat="1" applyFont="1" applyFill="1" applyBorder="1" applyAlignment="1" applyProtection="1">
      <alignment horizontal="right" vertical="center"/>
      <protection locked="0"/>
    </xf>
    <xf numFmtId="10" fontId="5" fillId="0" borderId="423" xfId="1" applyNumberFormat="1" applyFont="1" applyFill="1" applyBorder="1" applyAlignment="1" applyProtection="1">
      <alignment horizontal="right" vertical="center"/>
      <protection locked="0"/>
    </xf>
    <xf numFmtId="49" fontId="5" fillId="0" borderId="42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2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26" xfId="6" applyNumberFormat="1" applyFont="1" applyFill="1" applyBorder="1" applyAlignment="1" applyProtection="1">
      <alignment horizontal="right" vertical="center"/>
      <protection locked="0"/>
    </xf>
    <xf numFmtId="4" fontId="5" fillId="0" borderId="426" xfId="6" applyNumberFormat="1" applyFont="1" applyFill="1" applyBorder="1" applyAlignment="1" applyProtection="1">
      <alignment horizontal="right" vertical="center"/>
      <protection locked="0"/>
    </xf>
    <xf numFmtId="10" fontId="5" fillId="0" borderId="427" xfId="1" applyNumberFormat="1" applyFont="1" applyFill="1" applyBorder="1" applyAlignment="1" applyProtection="1">
      <alignment horizontal="right" vertical="center"/>
      <protection locked="0"/>
    </xf>
    <xf numFmtId="3" fontId="5" fillId="0" borderId="162" xfId="6" applyNumberFormat="1" applyFont="1" applyFill="1" applyBorder="1" applyAlignment="1" applyProtection="1">
      <alignment horizontal="right" vertical="center"/>
      <protection locked="0"/>
    </xf>
    <xf numFmtId="3" fontId="16" fillId="0" borderId="162" xfId="6" applyNumberFormat="1" applyFont="1" applyFill="1" applyBorder="1" applyAlignment="1" applyProtection="1">
      <alignment horizontal="right" vertical="center"/>
      <protection locked="0"/>
    </xf>
    <xf numFmtId="4" fontId="16" fillId="0" borderId="162" xfId="6" applyNumberFormat="1" applyFont="1" applyFill="1" applyBorder="1" applyAlignment="1" applyProtection="1">
      <alignment horizontal="right" vertical="center"/>
      <protection locked="0"/>
    </xf>
    <xf numFmtId="10" fontId="16" fillId="0" borderId="165" xfId="1" applyNumberFormat="1" applyFont="1" applyFill="1" applyBorder="1" applyAlignment="1" applyProtection="1">
      <alignment horizontal="right" vertical="center"/>
      <protection locked="0"/>
    </xf>
    <xf numFmtId="49" fontId="5" fillId="17" borderId="42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29" xfId="6" applyNumberFormat="1" applyFont="1" applyFill="1" applyBorder="1" applyAlignment="1" applyProtection="1">
      <alignment vertical="center" wrapText="1"/>
      <protection locked="0"/>
    </xf>
    <xf numFmtId="49" fontId="5" fillId="17" borderId="428" xfId="6" applyNumberFormat="1" applyFont="1" applyFill="1" applyBorder="1" applyAlignment="1" applyProtection="1">
      <alignment vertical="center" wrapText="1"/>
      <protection locked="0"/>
    </xf>
    <xf numFmtId="49" fontId="5" fillId="17" borderId="430" xfId="6" applyNumberFormat="1" applyFont="1" applyFill="1" applyBorder="1" applyAlignment="1" applyProtection="1">
      <alignment horizontal="center" vertical="center" wrapText="1"/>
      <protection locked="0"/>
    </xf>
    <xf numFmtId="3" fontId="13" fillId="0" borderId="432" xfId="6" applyNumberFormat="1" applyFont="1" applyFill="1" applyBorder="1" applyAlignment="1" applyProtection="1">
      <alignment horizontal="right" vertical="center"/>
      <protection locked="0"/>
    </xf>
    <xf numFmtId="4" fontId="13" fillId="0" borderId="432" xfId="6" applyNumberFormat="1" applyFont="1" applyFill="1" applyBorder="1" applyAlignment="1" applyProtection="1">
      <alignment horizontal="right" vertical="center"/>
      <protection locked="0"/>
    </xf>
    <xf numFmtId="10" fontId="5" fillId="0" borderId="433" xfId="1" applyNumberFormat="1" applyFont="1" applyFill="1" applyBorder="1" applyAlignment="1" applyProtection="1">
      <alignment horizontal="right" vertical="center"/>
      <protection locked="0"/>
    </xf>
    <xf numFmtId="49" fontId="5" fillId="17" borderId="43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3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36" xfId="6" applyNumberFormat="1" applyFont="1" applyFill="1" applyBorder="1" applyAlignment="1" applyProtection="1">
      <alignment horizontal="right" vertical="center"/>
      <protection locked="0"/>
    </xf>
    <xf numFmtId="4" fontId="5" fillId="0" borderId="436" xfId="6" applyNumberFormat="1" applyFont="1" applyFill="1" applyBorder="1" applyAlignment="1" applyProtection="1">
      <alignment horizontal="right" vertical="center"/>
      <protection locked="0"/>
    </xf>
    <xf numFmtId="10" fontId="5" fillId="0" borderId="437" xfId="1" applyNumberFormat="1" applyFont="1" applyFill="1" applyBorder="1" applyAlignment="1" applyProtection="1">
      <alignment horizontal="right" vertical="center"/>
      <protection locked="0"/>
    </xf>
    <xf numFmtId="10" fontId="16" fillId="0" borderId="437" xfId="1" applyNumberFormat="1" applyFont="1" applyFill="1" applyBorder="1" applyAlignment="1" applyProtection="1">
      <alignment horizontal="right" vertical="center"/>
      <protection locked="0"/>
    </xf>
    <xf numFmtId="3" fontId="5" fillId="0" borderId="439" xfId="6" applyNumberFormat="1" applyFont="1" applyFill="1" applyBorder="1" applyAlignment="1" applyProtection="1">
      <alignment horizontal="right" vertical="center"/>
      <protection locked="0"/>
    </xf>
    <xf numFmtId="4" fontId="5" fillId="0" borderId="439" xfId="6" applyNumberFormat="1" applyFont="1" applyFill="1" applyBorder="1" applyAlignment="1" applyProtection="1">
      <alignment horizontal="right" vertical="center"/>
      <protection locked="0"/>
    </xf>
    <xf numFmtId="10" fontId="5" fillId="0" borderId="440" xfId="1" applyNumberFormat="1" applyFont="1" applyFill="1" applyBorder="1" applyAlignment="1" applyProtection="1">
      <alignment horizontal="right" vertical="center"/>
      <protection locked="0"/>
    </xf>
    <xf numFmtId="49" fontId="8" fillId="18" borderId="441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247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248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249" xfId="6" applyNumberFormat="1" applyFont="1" applyFill="1" applyBorder="1" applyAlignment="1" applyProtection="1">
      <alignment horizontal="left" vertical="center" wrapText="1"/>
      <protection locked="0"/>
    </xf>
    <xf numFmtId="3" fontId="8" fillId="2" borderId="247" xfId="6" applyNumberFormat="1" applyFont="1" applyFill="1" applyBorder="1" applyAlignment="1" applyProtection="1">
      <alignment horizontal="right" vertical="center"/>
      <protection locked="0"/>
    </xf>
    <xf numFmtId="4" fontId="8" fillId="2" borderId="247" xfId="6" applyNumberFormat="1" applyFont="1" applyFill="1" applyBorder="1" applyAlignment="1" applyProtection="1">
      <alignment horizontal="right" vertical="center"/>
      <protection locked="0"/>
    </xf>
    <xf numFmtId="10" fontId="8" fillId="2" borderId="6" xfId="1" applyNumberFormat="1" applyFont="1" applyFill="1" applyBorder="1" applyAlignment="1" applyProtection="1">
      <alignment horizontal="right" vertical="center"/>
      <protection locked="0"/>
    </xf>
    <xf numFmtId="3" fontId="8" fillId="0" borderId="443" xfId="6" applyNumberFormat="1" applyFont="1" applyFill="1" applyBorder="1" applyAlignment="1" applyProtection="1">
      <alignment horizontal="right" vertical="center"/>
      <protection locked="0"/>
    </xf>
    <xf numFmtId="4" fontId="8" fillId="0" borderId="443" xfId="6" applyNumberFormat="1" applyFont="1" applyFill="1" applyBorder="1" applyAlignment="1" applyProtection="1">
      <alignment horizontal="right" vertical="center"/>
      <protection locked="0"/>
    </xf>
    <xf numFmtId="10" fontId="8" fillId="0" borderId="444" xfId="1" applyNumberFormat="1" applyFont="1" applyFill="1" applyBorder="1" applyAlignment="1" applyProtection="1">
      <alignment horizontal="right" vertical="center"/>
      <protection locked="0"/>
    </xf>
    <xf numFmtId="10" fontId="5" fillId="0" borderId="444" xfId="1" applyNumberFormat="1" applyFont="1" applyFill="1" applyBorder="1" applyAlignment="1" applyProtection="1">
      <alignment horizontal="right" vertical="center"/>
      <protection locked="0"/>
    </xf>
    <xf numFmtId="49" fontId="5" fillId="17" borderId="44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4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47" xfId="6" applyNumberFormat="1" applyFont="1" applyFill="1" applyBorder="1" applyAlignment="1" applyProtection="1">
      <alignment horizontal="right" vertical="center"/>
      <protection locked="0"/>
    </xf>
    <xf numFmtId="4" fontId="5" fillId="0" borderId="447" xfId="6" applyNumberFormat="1" applyFont="1" applyFill="1" applyBorder="1" applyAlignment="1" applyProtection="1">
      <alignment horizontal="right" vertical="center"/>
      <protection locked="0"/>
    </xf>
    <xf numFmtId="10" fontId="5" fillId="0" borderId="448" xfId="1" applyNumberFormat="1" applyFont="1" applyFill="1" applyBorder="1" applyAlignment="1" applyProtection="1">
      <alignment horizontal="right" vertical="center"/>
      <protection locked="0"/>
    </xf>
    <xf numFmtId="49" fontId="5" fillId="17" borderId="44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5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51" xfId="6" applyNumberFormat="1" applyFont="1" applyFill="1" applyBorder="1" applyAlignment="1" applyProtection="1">
      <alignment horizontal="right" vertical="center"/>
      <protection locked="0"/>
    </xf>
    <xf numFmtId="4" fontId="5" fillId="0" borderId="451" xfId="6" applyNumberFormat="1" applyFont="1" applyFill="1" applyBorder="1" applyAlignment="1" applyProtection="1">
      <alignment horizontal="right" vertical="center"/>
      <protection locked="0"/>
    </xf>
    <xf numFmtId="10" fontId="5" fillId="0" borderId="452" xfId="1" applyNumberFormat="1" applyFont="1" applyFill="1" applyBorder="1" applyAlignment="1" applyProtection="1">
      <alignment horizontal="right" vertical="center"/>
      <protection locked="0"/>
    </xf>
    <xf numFmtId="10" fontId="16" fillId="0" borderId="448" xfId="1" applyNumberFormat="1" applyFont="1" applyFill="1" applyBorder="1" applyAlignment="1" applyProtection="1">
      <alignment horizontal="right" vertical="center"/>
      <protection locked="0"/>
    </xf>
    <xf numFmtId="49" fontId="5" fillId="0" borderId="408" xfId="6" applyNumberFormat="1" applyFont="1" applyFill="1" applyBorder="1" applyAlignment="1" applyProtection="1">
      <alignment horizontal="left" vertical="center" wrapText="1"/>
      <protection locked="0"/>
    </xf>
    <xf numFmtId="49" fontId="35" fillId="18" borderId="441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247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453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454" xfId="6" applyNumberFormat="1" applyFont="1" applyFill="1" applyBorder="1" applyAlignment="1" applyProtection="1">
      <alignment horizontal="left" vertical="center" wrapText="1"/>
      <protection locked="0"/>
    </xf>
    <xf numFmtId="3" fontId="35" fillId="2" borderId="247" xfId="6" applyNumberFormat="1" applyFont="1" applyFill="1" applyBorder="1" applyAlignment="1" applyProtection="1">
      <alignment horizontal="right" vertical="center"/>
      <protection locked="0"/>
    </xf>
    <xf numFmtId="4" fontId="35" fillId="2" borderId="247" xfId="6" applyNumberFormat="1" applyFont="1" applyFill="1" applyBorder="1" applyAlignment="1" applyProtection="1">
      <alignment horizontal="right" vertical="center"/>
      <protection locked="0"/>
    </xf>
    <xf numFmtId="10" fontId="8" fillId="2" borderId="247" xfId="1" applyNumberFormat="1" applyFont="1" applyFill="1" applyBorder="1" applyAlignment="1" applyProtection="1">
      <alignment horizontal="right" vertical="center"/>
      <protection locked="0"/>
    </xf>
    <xf numFmtId="49" fontId="31" fillId="0" borderId="178" xfId="6" applyNumberFormat="1" applyFont="1" applyFill="1" applyBorder="1" applyAlignment="1" applyProtection="1">
      <alignment vertical="center" wrapText="1"/>
      <protection locked="0"/>
    </xf>
    <xf numFmtId="49" fontId="85" fillId="20" borderId="247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248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249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247" xfId="6" applyNumberFormat="1" applyFont="1" applyFill="1" applyBorder="1" applyAlignment="1" applyProtection="1">
      <alignment horizontal="right" vertical="center"/>
      <protection locked="0"/>
    </xf>
    <xf numFmtId="3" fontId="31" fillId="0" borderId="403" xfId="6" applyNumberFormat="1" applyFont="1" applyFill="1" applyBorder="1" applyAlignment="1" applyProtection="1">
      <alignment horizontal="right" vertical="center"/>
      <protection locked="0"/>
    </xf>
    <xf numFmtId="49" fontId="31" fillId="17" borderId="40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5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5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5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5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1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0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5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6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07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408" xfId="0" applyFont="1" applyBorder="1" applyAlignment="1">
      <alignment vertical="center" wrapText="1"/>
    </xf>
    <xf numFmtId="49" fontId="31" fillId="17" borderId="40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1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20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461" xfId="1" applyNumberFormat="1" applyFont="1" applyFill="1" applyBorder="1" applyAlignment="1" applyProtection="1">
      <alignment horizontal="right" vertical="center"/>
      <protection locked="0"/>
    </xf>
    <xf numFmtId="3" fontId="35" fillId="0" borderId="463" xfId="6" applyNumberFormat="1" applyFont="1" applyFill="1" applyBorder="1" applyAlignment="1" applyProtection="1">
      <alignment horizontal="right" vertical="center"/>
      <protection locked="0"/>
    </xf>
    <xf numFmtId="3" fontId="8" fillId="0" borderId="463" xfId="6" applyNumberFormat="1" applyFont="1" applyFill="1" applyBorder="1" applyAlignment="1" applyProtection="1">
      <alignment horizontal="right" vertical="center"/>
      <protection locked="0"/>
    </xf>
    <xf numFmtId="4" fontId="8" fillId="0" borderId="463" xfId="6" applyNumberFormat="1" applyFont="1" applyFill="1" applyBorder="1" applyAlignment="1" applyProtection="1">
      <alignment horizontal="right" vertical="center"/>
      <protection locked="0"/>
    </xf>
    <xf numFmtId="10" fontId="8" fillId="0" borderId="464" xfId="1" applyNumberFormat="1" applyFont="1" applyFill="1" applyBorder="1" applyAlignment="1" applyProtection="1">
      <alignment horizontal="right" vertical="center"/>
      <protection locked="0"/>
    </xf>
    <xf numFmtId="3" fontId="5" fillId="17" borderId="463" xfId="6" applyNumberFormat="1" applyFont="1" applyFill="1" applyBorder="1" applyAlignment="1" applyProtection="1">
      <alignment horizontal="right" vertical="center" wrapText="1"/>
      <protection locked="0"/>
    </xf>
    <xf numFmtId="4" fontId="5" fillId="17" borderId="463" xfId="6" applyNumberFormat="1" applyFont="1" applyFill="1" applyBorder="1" applyAlignment="1" applyProtection="1">
      <alignment horizontal="right" vertical="center" wrapText="1"/>
      <protection locked="0"/>
    </xf>
    <xf numFmtId="10" fontId="5" fillId="0" borderId="464" xfId="1" applyNumberFormat="1" applyFont="1" applyFill="1" applyBorder="1" applyAlignment="1" applyProtection="1">
      <alignment horizontal="right" vertical="center"/>
      <protection locked="0"/>
    </xf>
    <xf numFmtId="49" fontId="31" fillId="17" borderId="40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08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466" xfId="1" applyNumberFormat="1" applyFont="1" applyFill="1" applyBorder="1" applyAlignment="1" applyProtection="1">
      <alignment horizontal="right" vertical="center"/>
      <protection locked="0"/>
    </xf>
    <xf numFmtId="49" fontId="31" fillId="17" borderId="46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69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470" xfId="6" applyNumberFormat="1" applyFont="1" applyFill="1" applyBorder="1" applyAlignment="1" applyProtection="1">
      <alignment horizontal="right" vertical="center"/>
      <protection locked="0"/>
    </xf>
    <xf numFmtId="3" fontId="5" fillId="0" borderId="470" xfId="6" applyNumberFormat="1" applyFont="1" applyFill="1" applyBorder="1" applyAlignment="1" applyProtection="1">
      <alignment horizontal="right" vertical="center"/>
      <protection locked="0"/>
    </xf>
    <xf numFmtId="4" fontId="5" fillId="0" borderId="470" xfId="6" applyNumberFormat="1" applyFont="1" applyFill="1" applyBorder="1" applyAlignment="1" applyProtection="1">
      <alignment horizontal="right" vertical="center"/>
      <protection locked="0"/>
    </xf>
    <xf numFmtId="10" fontId="5" fillId="0" borderId="471" xfId="1" applyNumberFormat="1" applyFont="1" applyFill="1" applyBorder="1" applyAlignment="1" applyProtection="1">
      <alignment horizontal="right" vertical="center"/>
      <protection locked="0"/>
    </xf>
    <xf numFmtId="10" fontId="16" fillId="0" borderId="466" xfId="1" applyNumberFormat="1" applyFont="1" applyFill="1" applyBorder="1" applyAlignment="1" applyProtection="1">
      <alignment horizontal="right" vertical="center"/>
      <protection locked="0"/>
    </xf>
    <xf numFmtId="3" fontId="35" fillId="0" borderId="472" xfId="6" applyNumberFormat="1" applyFont="1" applyFill="1" applyBorder="1" applyAlignment="1" applyProtection="1">
      <alignment horizontal="right" vertical="center"/>
      <protection locked="0"/>
    </xf>
    <xf numFmtId="3" fontId="8" fillId="0" borderId="472" xfId="6" applyNumberFormat="1" applyFont="1" applyFill="1" applyBorder="1" applyAlignment="1" applyProtection="1">
      <alignment horizontal="right" vertical="center"/>
      <protection locked="0"/>
    </xf>
    <xf numFmtId="4" fontId="8" fillId="0" borderId="472" xfId="6" applyNumberFormat="1" applyFont="1" applyFill="1" applyBorder="1" applyAlignment="1" applyProtection="1">
      <alignment horizontal="right" vertical="center"/>
      <protection locked="0"/>
    </xf>
    <xf numFmtId="10" fontId="8" fillId="0" borderId="473" xfId="1" applyNumberFormat="1" applyFont="1" applyFill="1" applyBorder="1" applyAlignment="1" applyProtection="1">
      <alignment horizontal="right" vertical="center"/>
      <protection locked="0"/>
    </xf>
    <xf numFmtId="49" fontId="31" fillId="17" borderId="474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475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473" xfId="1" applyNumberFormat="1" applyFont="1" applyFill="1" applyBorder="1" applyAlignment="1" applyProtection="1">
      <alignment horizontal="right" vertical="center"/>
      <protection locked="0"/>
    </xf>
    <xf numFmtId="3" fontId="8" fillId="0" borderId="439" xfId="6" applyNumberFormat="1" applyFont="1" applyFill="1" applyBorder="1" applyAlignment="1" applyProtection="1">
      <alignment horizontal="right" vertical="center"/>
      <protection locked="0"/>
    </xf>
    <xf numFmtId="4" fontId="8" fillId="0" borderId="439" xfId="6" applyNumberFormat="1" applyFont="1" applyFill="1" applyBorder="1" applyAlignment="1" applyProtection="1">
      <alignment horizontal="right" vertical="center"/>
      <protection locked="0"/>
    </xf>
    <xf numFmtId="49" fontId="5" fillId="0" borderId="478" xfId="6" applyNumberFormat="1" applyFont="1" applyFill="1" applyBorder="1" applyAlignment="1" applyProtection="1">
      <alignment horizontal="left" vertical="center" wrapText="1"/>
      <protection locked="0"/>
    </xf>
    <xf numFmtId="3" fontId="13" fillId="0" borderId="439" xfId="6" applyNumberFormat="1" applyFont="1" applyFill="1" applyBorder="1" applyAlignment="1" applyProtection="1">
      <alignment horizontal="right" vertical="center"/>
      <protection locked="0"/>
    </xf>
    <xf numFmtId="4" fontId="13" fillId="0" borderId="439" xfId="6" applyNumberFormat="1" applyFont="1" applyFill="1" applyBorder="1" applyAlignment="1" applyProtection="1">
      <alignment horizontal="right" vertical="center"/>
      <protection locked="0"/>
    </xf>
    <xf numFmtId="49" fontId="5" fillId="17" borderId="47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8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8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6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82" xfId="6" applyNumberFormat="1" applyFont="1" applyFill="1" applyBorder="1" applyAlignment="1" applyProtection="1">
      <alignment vertical="center" wrapText="1"/>
      <protection locked="0"/>
    </xf>
    <xf numFmtId="10" fontId="5" fillId="0" borderId="483" xfId="1" applyNumberFormat="1" applyFont="1" applyFill="1" applyBorder="1" applyAlignment="1" applyProtection="1">
      <alignment horizontal="right" vertical="center"/>
      <protection locked="0"/>
    </xf>
    <xf numFmtId="49" fontId="5" fillId="0" borderId="48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8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83" xfId="6" applyNumberFormat="1" applyFont="1" applyFill="1" applyBorder="1" applyAlignment="1" applyProtection="1">
      <alignment vertical="center" wrapText="1"/>
      <protection locked="0"/>
    </xf>
    <xf numFmtId="49" fontId="5" fillId="0" borderId="48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88" xfId="6" applyNumberFormat="1" applyFont="1" applyFill="1" applyBorder="1" applyAlignment="1" applyProtection="1">
      <alignment horizontal="right" vertical="center"/>
      <protection locked="0"/>
    </xf>
    <xf numFmtId="4" fontId="5" fillId="0" borderId="488" xfId="6" applyNumberFormat="1" applyFont="1" applyFill="1" applyBorder="1" applyAlignment="1" applyProtection="1">
      <alignment horizontal="right" vertical="center"/>
      <protection locked="0"/>
    </xf>
    <xf numFmtId="10" fontId="5" fillId="0" borderId="489" xfId="1" applyNumberFormat="1" applyFont="1" applyFill="1" applyBorder="1" applyAlignment="1" applyProtection="1">
      <alignment horizontal="right" vertical="center"/>
      <protection locked="0"/>
    </xf>
    <xf numFmtId="10" fontId="8" fillId="0" borderId="483" xfId="1" applyNumberFormat="1" applyFont="1" applyFill="1" applyBorder="1" applyAlignment="1" applyProtection="1">
      <alignment horizontal="right" vertical="center"/>
      <protection locked="0"/>
    </xf>
    <xf numFmtId="49" fontId="5" fillId="17" borderId="49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9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9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9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94" xfId="6" applyNumberFormat="1" applyFont="1" applyFill="1" applyBorder="1" applyAlignment="1" applyProtection="1">
      <alignment horizontal="left" vertical="center" wrapText="1"/>
      <protection locked="0"/>
    </xf>
    <xf numFmtId="49" fontId="12" fillId="21" borderId="178" xfId="6" applyNumberFormat="1" applyFont="1" applyFill="1" applyBorder="1" applyAlignment="1" applyProtection="1">
      <alignment vertical="center" wrapText="1"/>
      <protection locked="0"/>
    </xf>
    <xf numFmtId="49" fontId="16" fillId="17" borderId="45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9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96" xfId="6" applyNumberFormat="1" applyFont="1" applyFill="1" applyBorder="1" applyAlignment="1" applyProtection="1">
      <alignment horizontal="center" vertical="center" wrapText="1"/>
      <protection locked="0"/>
    </xf>
    <xf numFmtId="49" fontId="19" fillId="21" borderId="7" xfId="6" applyNumberFormat="1" applyFont="1" applyFill="1" applyBorder="1" applyAlignment="1" applyProtection="1">
      <alignment vertical="center" wrapText="1"/>
      <protection locked="0"/>
    </xf>
    <xf numFmtId="49" fontId="5" fillId="17" borderId="497" xfId="6" applyNumberFormat="1" applyFont="1" applyFill="1" applyBorder="1" applyAlignment="1" applyProtection="1">
      <alignment horizontal="center" vertical="center" wrapText="1"/>
      <protection locked="0"/>
    </xf>
    <xf numFmtId="10" fontId="8" fillId="0" borderId="499" xfId="1" applyNumberFormat="1" applyFont="1" applyFill="1" applyBorder="1" applyAlignment="1" applyProtection="1">
      <alignment horizontal="right" vertical="center"/>
      <protection locked="0"/>
    </xf>
    <xf numFmtId="10" fontId="5" fillId="0" borderId="499" xfId="1" applyNumberFormat="1" applyFont="1" applyFill="1" applyBorder="1" applyAlignment="1" applyProtection="1">
      <alignment horizontal="right" vertical="center"/>
      <protection locked="0"/>
    </xf>
    <xf numFmtId="10" fontId="13" fillId="0" borderId="499" xfId="1" applyNumberFormat="1" applyFont="1" applyFill="1" applyBorder="1" applyAlignment="1" applyProtection="1">
      <alignment horizontal="right" vertical="center"/>
      <protection locked="0"/>
    </xf>
    <xf numFmtId="3" fontId="8" fillId="0" borderId="501" xfId="6" applyNumberFormat="1" applyFont="1" applyFill="1" applyBorder="1" applyAlignment="1" applyProtection="1">
      <alignment horizontal="right" vertical="center"/>
      <protection locked="0"/>
    </xf>
    <xf numFmtId="4" fontId="8" fillId="0" borderId="501" xfId="6" applyNumberFormat="1" applyFont="1" applyFill="1" applyBorder="1" applyAlignment="1" applyProtection="1">
      <alignment horizontal="right" vertical="center"/>
      <protection locked="0"/>
    </xf>
    <xf numFmtId="10" fontId="8" fillId="0" borderId="502" xfId="1" applyNumberFormat="1" applyFont="1" applyFill="1" applyBorder="1" applyAlignment="1" applyProtection="1">
      <alignment horizontal="right" vertical="center"/>
      <protection locked="0"/>
    </xf>
    <xf numFmtId="10" fontId="5" fillId="0" borderId="502" xfId="1" applyNumberFormat="1" applyFont="1" applyFill="1" applyBorder="1" applyAlignment="1" applyProtection="1">
      <alignment horizontal="right" vertical="center"/>
      <protection locked="0"/>
    </xf>
    <xf numFmtId="49" fontId="16" fillId="17" borderId="503" xfId="6" applyNumberFormat="1" applyFont="1" applyFill="1" applyBorder="1" applyAlignment="1" applyProtection="1">
      <alignment horizontal="left" vertical="center" wrapText="1"/>
      <protection locked="0"/>
    </xf>
    <xf numFmtId="10" fontId="16" fillId="0" borderId="502" xfId="1" applyNumberFormat="1" applyFont="1" applyFill="1" applyBorder="1" applyAlignment="1" applyProtection="1">
      <alignment horizontal="right" vertical="center"/>
      <protection locked="0"/>
    </xf>
    <xf numFmtId="3" fontId="8" fillId="0" borderId="505" xfId="6" applyNumberFormat="1" applyFont="1" applyFill="1" applyBorder="1" applyAlignment="1" applyProtection="1">
      <alignment horizontal="right" vertical="center"/>
      <protection locked="0"/>
    </xf>
    <xf numFmtId="4" fontId="8" fillId="0" borderId="505" xfId="6" applyNumberFormat="1" applyFont="1" applyFill="1" applyBorder="1" applyAlignment="1" applyProtection="1">
      <alignment horizontal="right" vertical="center"/>
      <protection locked="0"/>
    </xf>
    <xf numFmtId="10" fontId="8" fillId="0" borderId="506" xfId="1" applyNumberFormat="1" applyFont="1" applyFill="1" applyBorder="1" applyAlignment="1" applyProtection="1">
      <alignment horizontal="right" vertical="center"/>
      <protection locked="0"/>
    </xf>
    <xf numFmtId="10" fontId="5" fillId="0" borderId="506" xfId="1" applyNumberFormat="1" applyFont="1" applyFill="1" applyBorder="1" applyAlignment="1" applyProtection="1">
      <alignment horizontal="right" vertical="center"/>
      <protection locked="0"/>
    </xf>
    <xf numFmtId="49" fontId="16" fillId="17" borderId="4" xfId="6" applyNumberFormat="1" applyFont="1" applyFill="1" applyBorder="1" applyAlignment="1" applyProtection="1">
      <alignment horizontal="center" vertical="center" wrapText="1"/>
      <protection locked="0"/>
    </xf>
    <xf numFmtId="49" fontId="19" fillId="21" borderId="178" xfId="6" applyNumberFormat="1" applyFont="1" applyFill="1" applyBorder="1" applyAlignment="1" applyProtection="1">
      <alignment vertical="center" wrapText="1"/>
      <protection locked="0"/>
    </xf>
    <xf numFmtId="49" fontId="5" fillId="17" borderId="29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8" xfId="6" applyNumberFormat="1" applyFont="1" applyFill="1" applyBorder="1" applyAlignment="1" applyProtection="1">
      <alignment horizontal="left" vertical="center" wrapText="1"/>
      <protection locked="0"/>
    </xf>
    <xf numFmtId="4" fontId="5" fillId="0" borderId="162" xfId="6" applyNumberFormat="1" applyFont="1" applyFill="1" applyBorder="1" applyAlignment="1" applyProtection="1">
      <alignment horizontal="right" vertical="center"/>
      <protection locked="0"/>
    </xf>
    <xf numFmtId="49" fontId="5" fillId="17" borderId="50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95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50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46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09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51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1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1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1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1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514" xfId="6" applyNumberFormat="1" applyFont="1" applyFill="1" applyBorder="1" applyAlignment="1" applyProtection="1">
      <alignment horizontal="right" vertical="center"/>
      <protection locked="0"/>
    </xf>
    <xf numFmtId="10" fontId="5" fillId="0" borderId="403" xfId="1" applyNumberFormat="1" applyFont="1" applyFill="1" applyBorder="1" applyAlignment="1" applyProtection="1">
      <alignment horizontal="right" vertical="center"/>
      <protection locked="0"/>
    </xf>
    <xf numFmtId="3" fontId="8" fillId="10" borderId="247" xfId="6" applyNumberFormat="1" applyFont="1" applyFill="1" applyBorder="1" applyAlignment="1" applyProtection="1">
      <alignment horizontal="right" vertical="center"/>
      <protection locked="0"/>
    </xf>
    <xf numFmtId="4" fontId="8" fillId="10" borderId="247" xfId="6" applyNumberFormat="1" applyFont="1" applyFill="1" applyBorder="1" applyAlignment="1" applyProtection="1">
      <alignment horizontal="right" vertical="center"/>
      <protection locked="0"/>
    </xf>
    <xf numFmtId="49" fontId="5" fillId="17" borderId="515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6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51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514" xfId="6" applyNumberFormat="1" applyFont="1" applyFill="1" applyBorder="1" applyAlignment="1" applyProtection="1">
      <alignment horizontal="right" vertical="center" wrapText="1"/>
      <protection locked="0"/>
    </xf>
    <xf numFmtId="4" fontId="5" fillId="0" borderId="514" xfId="6" applyNumberFormat="1" applyFont="1" applyFill="1" applyBorder="1" applyAlignment="1" applyProtection="1">
      <alignment horizontal="right" vertical="center" wrapText="1"/>
      <protection locked="0"/>
    </xf>
    <xf numFmtId="49" fontId="5" fillId="0" borderId="517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51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8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35" xfId="6" applyNumberFormat="1" applyFont="1" applyFill="1" applyBorder="1" applyAlignment="1" applyProtection="1">
      <alignment horizontal="left" vertical="center" wrapText="1"/>
      <protection locked="0"/>
    </xf>
    <xf numFmtId="10" fontId="16" fillId="0" borderId="506" xfId="1" applyNumberFormat="1" applyFont="1" applyFill="1" applyBorder="1" applyAlignment="1" applyProtection="1">
      <alignment horizontal="right" vertical="center"/>
      <protection locked="0"/>
    </xf>
    <xf numFmtId="49" fontId="5" fillId="17" borderId="4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3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1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1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5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19" xfId="6" applyNumberFormat="1" applyFont="1" applyFill="1" applyBorder="1" applyAlignment="1" applyProtection="1">
      <alignment horizontal="left" vertical="center" wrapText="1"/>
      <protection locked="0"/>
    </xf>
    <xf numFmtId="4" fontId="85" fillId="10" borderId="247" xfId="6" applyNumberFormat="1" applyFont="1" applyFill="1" applyBorder="1" applyAlignment="1" applyProtection="1">
      <alignment horizontal="right" vertical="center"/>
      <protection locked="0"/>
    </xf>
    <xf numFmtId="10" fontId="35" fillId="10" borderId="247" xfId="1" applyNumberFormat="1" applyFont="1" applyFill="1" applyBorder="1" applyAlignment="1" applyProtection="1">
      <alignment horizontal="right" vertical="center"/>
      <protection locked="0"/>
    </xf>
    <xf numFmtId="4" fontId="31" fillId="0" borderId="403" xfId="6" applyNumberFormat="1" applyFont="1" applyFill="1" applyBorder="1" applyAlignment="1" applyProtection="1">
      <alignment horizontal="right" vertical="center"/>
      <protection locked="0"/>
    </xf>
    <xf numFmtId="10" fontId="31" fillId="0" borderId="10" xfId="1" applyNumberFormat="1" applyFont="1" applyFill="1" applyBorder="1" applyAlignment="1" applyProtection="1">
      <alignment horizontal="right" vertical="center"/>
      <protection locked="0"/>
    </xf>
    <xf numFmtId="10" fontId="5" fillId="0" borderId="520" xfId="1" applyNumberFormat="1" applyFont="1" applyFill="1" applyBorder="1" applyAlignment="1" applyProtection="1">
      <alignment horizontal="right" vertical="center"/>
      <protection locked="0"/>
    </xf>
    <xf numFmtId="3" fontId="8" fillId="0" borderId="522" xfId="6" applyNumberFormat="1" applyFont="1" applyFill="1" applyBorder="1" applyAlignment="1" applyProtection="1">
      <alignment horizontal="right" vertical="center"/>
      <protection locked="0"/>
    </xf>
    <xf numFmtId="4" fontId="8" fillId="0" borderId="522" xfId="6" applyNumberFormat="1" applyFont="1" applyFill="1" applyBorder="1" applyAlignment="1" applyProtection="1">
      <alignment horizontal="right" vertical="center"/>
      <protection locked="0"/>
    </xf>
    <xf numFmtId="10" fontId="8" fillId="0" borderId="523" xfId="1" applyNumberFormat="1" applyFont="1" applyFill="1" applyBorder="1" applyAlignment="1" applyProtection="1">
      <alignment horizontal="right" vertical="center"/>
      <protection locked="0"/>
    </xf>
    <xf numFmtId="10" fontId="5" fillId="0" borderId="523" xfId="1" applyNumberFormat="1" applyFont="1" applyFill="1" applyBorder="1" applyAlignment="1" applyProtection="1">
      <alignment horizontal="right" vertical="center"/>
      <protection locked="0"/>
    </xf>
    <xf numFmtId="3" fontId="5" fillId="0" borderId="522" xfId="6" applyNumberFormat="1" applyFont="1" applyFill="1" applyBorder="1" applyAlignment="1" applyProtection="1">
      <alignment horizontal="right" vertical="center"/>
      <protection locked="0"/>
    </xf>
    <xf numFmtId="4" fontId="5" fillId="0" borderId="522" xfId="6" applyNumberFormat="1" applyFont="1" applyFill="1" applyBorder="1" applyAlignment="1" applyProtection="1">
      <alignment horizontal="right" vertical="center"/>
      <protection locked="0"/>
    </xf>
    <xf numFmtId="3" fontId="5" fillId="0" borderId="525" xfId="6" applyNumberFormat="1" applyFont="1" applyFill="1" applyBorder="1" applyAlignment="1" applyProtection="1">
      <alignment horizontal="right" vertical="center"/>
      <protection locked="0"/>
    </xf>
    <xf numFmtId="4" fontId="5" fillId="0" borderId="525" xfId="6" applyNumberFormat="1" applyFont="1" applyFill="1" applyBorder="1" applyAlignment="1" applyProtection="1">
      <alignment horizontal="right" vertical="center"/>
      <protection locked="0"/>
    </xf>
    <xf numFmtId="10" fontId="5" fillId="0" borderId="526" xfId="1" applyNumberFormat="1" applyFont="1" applyFill="1" applyBorder="1" applyAlignment="1" applyProtection="1">
      <alignment horizontal="right" vertical="center"/>
      <protection locked="0"/>
    </xf>
    <xf numFmtId="3" fontId="35" fillId="0" borderId="528" xfId="6" applyNumberFormat="1" applyFont="1" applyFill="1" applyBorder="1" applyAlignment="1" applyProtection="1">
      <alignment horizontal="right" vertical="center"/>
      <protection locked="0"/>
    </xf>
    <xf numFmtId="4" fontId="35" fillId="0" borderId="528" xfId="6" applyNumberFormat="1" applyFont="1" applyFill="1" applyBorder="1" applyAlignment="1" applyProtection="1">
      <alignment horizontal="right" vertical="center"/>
      <protection locked="0"/>
    </xf>
    <xf numFmtId="10" fontId="35" fillId="0" borderId="529" xfId="1" applyNumberFormat="1" applyFont="1" applyFill="1" applyBorder="1" applyAlignment="1" applyProtection="1">
      <alignment horizontal="right" vertical="center"/>
      <protection locked="0"/>
    </xf>
    <xf numFmtId="10" fontId="31" fillId="0" borderId="529" xfId="1" applyNumberFormat="1" applyFont="1" applyFill="1" applyBorder="1" applyAlignment="1" applyProtection="1">
      <alignment horizontal="right" vertical="center"/>
      <protection locked="0"/>
    </xf>
    <xf numFmtId="3" fontId="32" fillId="0" borderId="531" xfId="6" applyNumberFormat="1" applyFont="1" applyFill="1" applyBorder="1" applyAlignment="1" applyProtection="1">
      <alignment horizontal="right" vertical="center"/>
      <protection locked="0"/>
    </xf>
    <xf numFmtId="4" fontId="32" fillId="0" borderId="531" xfId="6" applyNumberFormat="1" applyFont="1" applyFill="1" applyBorder="1" applyAlignment="1" applyProtection="1">
      <alignment horizontal="right" vertical="center"/>
      <protection locked="0"/>
    </xf>
    <xf numFmtId="10" fontId="31" fillId="0" borderId="532" xfId="1" applyNumberFormat="1" applyFont="1" applyFill="1" applyBorder="1" applyAlignment="1" applyProtection="1">
      <alignment horizontal="right" vertical="center"/>
      <protection locked="0"/>
    </xf>
    <xf numFmtId="49" fontId="31" fillId="17" borderId="17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58" xfId="6" applyNumberFormat="1" applyFont="1" applyFill="1" applyBorder="1" applyAlignment="1" applyProtection="1">
      <alignment vertical="center" wrapText="1"/>
      <protection locked="0"/>
    </xf>
    <xf numFmtId="49" fontId="31" fillId="17" borderId="519" xfId="6" applyNumberFormat="1" applyFont="1" applyFill="1" applyBorder="1" applyAlignment="1" applyProtection="1">
      <alignment vertical="center" wrapText="1"/>
      <protection locked="0"/>
    </xf>
    <xf numFmtId="49" fontId="31" fillId="17" borderId="47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0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7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0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1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19" xfId="6" applyNumberFormat="1" applyFont="1" applyFill="1" applyBorder="1" applyAlignment="1" applyProtection="1">
      <alignment horizontal="left" vertical="center" wrapText="1"/>
      <protection locked="0"/>
    </xf>
    <xf numFmtId="0" fontId="1" fillId="0" borderId="457" xfId="0" applyFont="1" applyBorder="1" applyAlignment="1">
      <alignment vertical="center"/>
    </xf>
    <xf numFmtId="10" fontId="31" fillId="0" borderId="519" xfId="1" applyNumberFormat="1" applyFont="1" applyFill="1" applyBorder="1" applyAlignment="1" applyProtection="1">
      <alignment horizontal="right" vertical="center"/>
      <protection locked="0"/>
    </xf>
    <xf numFmtId="0" fontId="31" fillId="0" borderId="408" xfId="0" applyFont="1" applyBorder="1" applyAlignment="1">
      <alignment horizontal="left" vertical="center" wrapText="1"/>
    </xf>
    <xf numFmtId="3" fontId="31" fillId="6" borderId="403" xfId="6" applyNumberFormat="1" applyFont="1" applyFill="1" applyBorder="1" applyAlignment="1" applyProtection="1">
      <alignment horizontal="right" vertical="center"/>
      <protection locked="0"/>
    </xf>
    <xf numFmtId="4" fontId="31" fillId="6" borderId="403" xfId="6" applyNumberFormat="1" applyFont="1" applyFill="1" applyBorder="1" applyAlignment="1" applyProtection="1">
      <alignment horizontal="right" vertical="center"/>
      <protection locked="0"/>
    </xf>
    <xf numFmtId="49" fontId="31" fillId="17" borderId="430" xfId="6" applyNumberFormat="1" applyFont="1" applyFill="1" applyBorder="1" applyAlignment="1" applyProtection="1">
      <alignment horizontal="center" vertical="center" wrapText="1"/>
      <protection locked="0"/>
    </xf>
    <xf numFmtId="10" fontId="31" fillId="0" borderId="534" xfId="1" applyNumberFormat="1" applyFont="1" applyFill="1" applyBorder="1" applyAlignment="1" applyProtection="1">
      <alignment horizontal="right" vertical="center"/>
      <protection locked="0"/>
    </xf>
    <xf numFmtId="49" fontId="31" fillId="17" borderId="53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36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537" xfId="6" applyNumberFormat="1" applyFont="1" applyFill="1" applyBorder="1" applyAlignment="1" applyProtection="1">
      <alignment horizontal="right" vertical="center"/>
      <protection locked="0"/>
    </xf>
    <xf numFmtId="4" fontId="31" fillId="0" borderId="537" xfId="6" applyNumberFormat="1" applyFont="1" applyFill="1" applyBorder="1" applyAlignment="1" applyProtection="1">
      <alignment horizontal="right" vertical="center"/>
      <protection locked="0"/>
    </xf>
    <xf numFmtId="10" fontId="31" fillId="0" borderId="538" xfId="1" applyNumberFormat="1" applyFont="1" applyFill="1" applyBorder="1" applyAlignment="1" applyProtection="1">
      <alignment horizontal="right" vertical="center"/>
      <protection locked="0"/>
    </xf>
    <xf numFmtId="3" fontId="35" fillId="0" borderId="540" xfId="6" applyNumberFormat="1" applyFont="1" applyFill="1" applyBorder="1" applyAlignment="1" applyProtection="1">
      <alignment horizontal="right" vertical="center"/>
      <protection locked="0"/>
    </xf>
    <xf numFmtId="4" fontId="35" fillId="0" borderId="540" xfId="6" applyNumberFormat="1" applyFont="1" applyFill="1" applyBorder="1" applyAlignment="1" applyProtection="1">
      <alignment horizontal="right" vertical="center"/>
      <protection locked="0"/>
    </xf>
    <xf numFmtId="10" fontId="35" fillId="0" borderId="541" xfId="1" applyNumberFormat="1" applyFont="1" applyFill="1" applyBorder="1" applyAlignment="1" applyProtection="1">
      <alignment horizontal="right" vertical="center"/>
      <protection locked="0"/>
    </xf>
    <xf numFmtId="10" fontId="31" fillId="0" borderId="541" xfId="1" applyNumberFormat="1" applyFont="1" applyFill="1" applyBorder="1" applyAlignment="1" applyProtection="1">
      <alignment horizontal="right" vertical="center"/>
      <protection locked="0"/>
    </xf>
    <xf numFmtId="49" fontId="31" fillId="17" borderId="54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43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544" xfId="6" applyNumberFormat="1" applyFont="1" applyFill="1" applyBorder="1" applyAlignment="1" applyProtection="1">
      <alignment horizontal="right" vertical="center"/>
      <protection locked="0"/>
    </xf>
    <xf numFmtId="4" fontId="31" fillId="0" borderId="544" xfId="6" applyNumberFormat="1" applyFont="1" applyFill="1" applyBorder="1" applyAlignment="1" applyProtection="1">
      <alignment horizontal="right" vertical="center"/>
      <protection locked="0"/>
    </xf>
    <xf numFmtId="10" fontId="31" fillId="0" borderId="545" xfId="1" applyNumberFormat="1" applyFont="1" applyFill="1" applyBorder="1" applyAlignment="1" applyProtection="1">
      <alignment horizontal="right" vertical="center"/>
      <protection locked="0"/>
    </xf>
    <xf numFmtId="49" fontId="31" fillId="17" borderId="54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4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4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533" xfId="6" applyNumberFormat="1" applyFont="1" applyFill="1" applyBorder="1" applyAlignment="1" applyProtection="1">
      <alignment horizontal="right" vertical="center"/>
      <protection locked="0"/>
    </xf>
    <xf numFmtId="4" fontId="31" fillId="0" borderId="533" xfId="6" applyNumberFormat="1" applyFont="1" applyFill="1" applyBorder="1" applyAlignment="1" applyProtection="1">
      <alignment horizontal="right" vertical="center"/>
      <protection locked="0"/>
    </xf>
    <xf numFmtId="3" fontId="32" fillId="0" borderId="550" xfId="6" applyNumberFormat="1" applyFont="1" applyFill="1" applyBorder="1" applyAlignment="1" applyProtection="1">
      <alignment horizontal="right" vertical="center"/>
      <protection locked="0"/>
    </xf>
    <xf numFmtId="4" fontId="32" fillId="0" borderId="550" xfId="6" applyNumberFormat="1" applyFont="1" applyFill="1" applyBorder="1" applyAlignment="1" applyProtection="1">
      <alignment horizontal="right" vertical="center"/>
      <protection locked="0"/>
    </xf>
    <xf numFmtId="10" fontId="31" fillId="0" borderId="551" xfId="1" applyNumberFormat="1" applyFont="1" applyFill="1" applyBorder="1" applyAlignment="1" applyProtection="1">
      <alignment horizontal="right" vertical="center"/>
      <protection locked="0"/>
    </xf>
    <xf numFmtId="49" fontId="31" fillId="17" borderId="55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5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38" xfId="6" applyNumberFormat="1" applyFont="1" applyFill="1" applyBorder="1" applyAlignment="1" applyProtection="1">
      <alignment horizontal="left" vertical="center" wrapText="1"/>
      <protection locked="0"/>
    </xf>
    <xf numFmtId="49" fontId="31" fillId="21" borderId="458" xfId="6" applyNumberFormat="1" applyFont="1" applyFill="1" applyBorder="1" applyAlignment="1" applyProtection="1">
      <alignment horizontal="center" vertical="center" wrapText="1"/>
      <protection locked="0"/>
    </xf>
    <xf numFmtId="49" fontId="31" fillId="21" borderId="519" xfId="6" applyNumberFormat="1" applyFont="1" applyFill="1" applyBorder="1" applyAlignment="1" applyProtection="1">
      <alignment horizontal="left" vertical="center" wrapText="1"/>
      <protection locked="0"/>
    </xf>
    <xf numFmtId="49" fontId="85" fillId="20" borderId="453" xfId="6" applyNumberFormat="1" applyFont="1" applyFill="1" applyBorder="1" applyAlignment="1" applyProtection="1">
      <alignment horizontal="center" vertical="center" wrapText="1"/>
      <protection locked="0"/>
    </xf>
    <xf numFmtId="3" fontId="35" fillId="10" borderId="247" xfId="6" applyNumberFormat="1" applyFont="1" applyFill="1" applyBorder="1" applyAlignment="1" applyProtection="1">
      <alignment horizontal="right" vertical="center"/>
      <protection locked="0"/>
    </xf>
    <xf numFmtId="4" fontId="35" fillId="10" borderId="247" xfId="6" applyNumberFormat="1" applyFont="1" applyFill="1" applyBorder="1" applyAlignment="1" applyProtection="1">
      <alignment horizontal="right" vertical="center"/>
      <protection locked="0"/>
    </xf>
    <xf numFmtId="49" fontId="85" fillId="21" borderId="178" xfId="6" applyNumberFormat="1" applyFont="1" applyFill="1" applyBorder="1" applyAlignment="1" applyProtection="1">
      <alignment horizontal="center" vertical="center" wrapText="1"/>
      <protection locked="0"/>
    </xf>
    <xf numFmtId="3" fontId="5" fillId="6" borderId="403" xfId="6" applyNumberFormat="1" applyFont="1" applyFill="1" applyBorder="1" applyAlignment="1" applyProtection="1">
      <alignment horizontal="right" vertical="center"/>
      <protection locked="0"/>
    </xf>
    <xf numFmtId="4" fontId="5" fillId="6" borderId="403" xfId="6" applyNumberFormat="1" applyFont="1" applyFill="1" applyBorder="1" applyAlignment="1" applyProtection="1">
      <alignment horizontal="right" vertical="center"/>
      <protection locked="0"/>
    </xf>
    <xf numFmtId="49" fontId="31" fillId="21" borderId="496" xfId="6" applyNumberFormat="1" applyFont="1" applyFill="1" applyBorder="1" applyAlignment="1" applyProtection="1">
      <alignment horizontal="center" vertical="center" wrapText="1"/>
      <protection locked="0"/>
    </xf>
    <xf numFmtId="49" fontId="31" fillId="21" borderId="457" xfId="6" applyNumberFormat="1" applyFont="1" applyFill="1" applyBorder="1" applyAlignment="1" applyProtection="1">
      <alignment horizontal="left" vertical="center" wrapText="1"/>
      <protection locked="0"/>
    </xf>
    <xf numFmtId="4" fontId="5" fillId="0" borderId="514" xfId="6" applyNumberFormat="1" applyFont="1" applyFill="1" applyBorder="1" applyAlignment="1" applyProtection="1">
      <alignment horizontal="right" vertical="center"/>
      <protection locked="0"/>
    </xf>
    <xf numFmtId="49" fontId="31" fillId="17" borderId="49" xfId="6" applyNumberFormat="1" applyFont="1" applyFill="1" applyBorder="1" applyAlignment="1" applyProtection="1">
      <alignment horizontal="center" vertical="center" wrapText="1"/>
      <protection locked="0"/>
    </xf>
    <xf numFmtId="3" fontId="31" fillId="6" borderId="162" xfId="6" applyNumberFormat="1" applyFont="1" applyFill="1" applyBorder="1" applyAlignment="1" applyProtection="1">
      <alignment horizontal="right" vertical="center"/>
      <protection locked="0"/>
    </xf>
    <xf numFmtId="4" fontId="31" fillId="6" borderId="162" xfId="6" applyNumberFormat="1" applyFont="1" applyFill="1" applyBorder="1" applyAlignment="1" applyProtection="1">
      <alignment horizontal="right" vertical="center"/>
      <protection locked="0"/>
    </xf>
    <xf numFmtId="3" fontId="8" fillId="0" borderId="554" xfId="6" applyNumberFormat="1" applyFont="1" applyFill="1" applyBorder="1" applyAlignment="1" applyProtection="1">
      <alignment horizontal="right" vertical="center"/>
      <protection locked="0"/>
    </xf>
    <xf numFmtId="4" fontId="8" fillId="0" borderId="554" xfId="6" applyNumberFormat="1" applyFont="1" applyFill="1" applyBorder="1" applyAlignment="1" applyProtection="1">
      <alignment horizontal="right" vertical="center"/>
      <protection locked="0"/>
    </xf>
    <xf numFmtId="3" fontId="8" fillId="0" borderId="557" xfId="6" applyNumberFormat="1" applyFont="1" applyFill="1" applyBorder="1" applyAlignment="1" applyProtection="1">
      <alignment horizontal="right" vertical="center"/>
      <protection locked="0"/>
    </xf>
    <xf numFmtId="4" fontId="8" fillId="0" borderId="557" xfId="6" applyNumberFormat="1" applyFont="1" applyFill="1" applyBorder="1" applyAlignment="1" applyProtection="1">
      <alignment horizontal="right" vertical="center"/>
      <protection locked="0"/>
    </xf>
    <xf numFmtId="10" fontId="8" fillId="0" borderId="558" xfId="1" applyNumberFormat="1" applyFont="1" applyFill="1" applyBorder="1" applyAlignment="1" applyProtection="1">
      <alignment horizontal="right" vertical="center"/>
      <protection locked="0"/>
    </xf>
    <xf numFmtId="10" fontId="5" fillId="0" borderId="558" xfId="1" applyNumberFormat="1" applyFont="1" applyFill="1" applyBorder="1" applyAlignment="1" applyProtection="1">
      <alignment horizontal="right" vertical="center"/>
      <protection locked="0"/>
    </xf>
    <xf numFmtId="3" fontId="8" fillId="0" borderId="560" xfId="6" applyNumberFormat="1" applyFont="1" applyFill="1" applyBorder="1" applyAlignment="1" applyProtection="1">
      <alignment horizontal="right" vertical="center"/>
      <protection locked="0"/>
    </xf>
    <xf numFmtId="4" fontId="8" fillId="0" borderId="560" xfId="6" applyNumberFormat="1" applyFont="1" applyFill="1" applyBorder="1" applyAlignment="1" applyProtection="1">
      <alignment horizontal="right" vertical="center"/>
      <protection locked="0"/>
    </xf>
    <xf numFmtId="10" fontId="8" fillId="0" borderId="561" xfId="1" applyNumberFormat="1" applyFont="1" applyFill="1" applyBorder="1" applyAlignment="1" applyProtection="1">
      <alignment horizontal="right" vertical="center"/>
      <protection locked="0"/>
    </xf>
    <xf numFmtId="3" fontId="5" fillId="0" borderId="563" xfId="6" applyNumberFormat="1" applyFont="1" applyFill="1" applyBorder="1" applyAlignment="1" applyProtection="1">
      <alignment horizontal="right" vertical="center"/>
      <protection locked="0"/>
    </xf>
    <xf numFmtId="4" fontId="5" fillId="0" borderId="563" xfId="6" applyNumberFormat="1" applyFont="1" applyFill="1" applyBorder="1" applyAlignment="1" applyProtection="1">
      <alignment horizontal="right" vertical="center"/>
      <protection locked="0"/>
    </xf>
    <xf numFmtId="10" fontId="5" fillId="0" borderId="564" xfId="1" applyNumberFormat="1" applyFont="1" applyFill="1" applyBorder="1" applyAlignment="1" applyProtection="1">
      <alignment horizontal="right" vertical="center"/>
      <protection locked="0"/>
    </xf>
    <xf numFmtId="10" fontId="16" fillId="0" borderId="558" xfId="1" applyNumberFormat="1" applyFont="1" applyFill="1" applyBorder="1" applyAlignment="1" applyProtection="1">
      <alignment horizontal="right" vertical="center"/>
      <protection locked="0"/>
    </xf>
    <xf numFmtId="3" fontId="35" fillId="0" borderId="554" xfId="6" applyNumberFormat="1" applyFont="1" applyFill="1" applyBorder="1" applyAlignment="1" applyProtection="1">
      <alignment horizontal="right" vertical="center"/>
      <protection locked="0"/>
    </xf>
    <xf numFmtId="4" fontId="35" fillId="0" borderId="554" xfId="6" applyNumberFormat="1" applyFont="1" applyFill="1" applyBorder="1" applyAlignment="1" applyProtection="1">
      <alignment horizontal="right" vertical="center"/>
      <protection locked="0"/>
    </xf>
    <xf numFmtId="10" fontId="35" fillId="0" borderId="558" xfId="1" applyNumberFormat="1" applyFont="1" applyFill="1" applyBorder="1" applyAlignment="1" applyProtection="1">
      <alignment horizontal="right" vertical="center"/>
      <protection locked="0"/>
    </xf>
    <xf numFmtId="10" fontId="31" fillId="0" borderId="558" xfId="1" applyNumberFormat="1" applyFont="1" applyFill="1" applyBorder="1" applyAlignment="1" applyProtection="1">
      <alignment horizontal="right" vertical="center"/>
      <protection locked="0"/>
    </xf>
    <xf numFmtId="49" fontId="31" fillId="17" borderId="56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569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178" xfId="6" applyNumberFormat="1" applyFont="1" applyFill="1" applyBorder="1" applyAlignment="1" applyProtection="1">
      <alignment horizontal="right" vertical="center"/>
      <protection locked="0"/>
    </xf>
    <xf numFmtId="3" fontId="12" fillId="10" borderId="178" xfId="6" applyNumberFormat="1" applyFont="1" applyFill="1" applyBorder="1" applyAlignment="1" applyProtection="1">
      <alignment horizontal="right" vertical="center"/>
      <protection locked="0"/>
    </xf>
    <xf numFmtId="4" fontId="12" fillId="10" borderId="178" xfId="6" applyNumberFormat="1" applyFont="1" applyFill="1" applyBorder="1" applyAlignment="1" applyProtection="1">
      <alignment horizontal="right" vertical="center"/>
      <protection locked="0"/>
    </xf>
    <xf numFmtId="3" fontId="35" fillId="0" borderId="162" xfId="6" applyNumberFormat="1" applyFont="1" applyFill="1" applyBorder="1" applyAlignment="1" applyProtection="1">
      <alignment horizontal="right" vertical="center"/>
      <protection locked="0"/>
    </xf>
    <xf numFmtId="3" fontId="8" fillId="0" borderId="162" xfId="6" applyNumberFormat="1" applyFont="1" applyFill="1" applyBorder="1" applyAlignment="1" applyProtection="1">
      <alignment horizontal="right" vertical="center"/>
      <protection locked="0"/>
    </xf>
    <xf numFmtId="4" fontId="8" fillId="0" borderId="162" xfId="6" applyNumberFormat="1" applyFont="1" applyFill="1" applyBorder="1" applyAlignment="1" applyProtection="1">
      <alignment horizontal="right" vertical="center"/>
      <protection locked="0"/>
    </xf>
    <xf numFmtId="3" fontId="32" fillId="0" borderId="403" xfId="6" applyNumberFormat="1" applyFont="1" applyFill="1" applyBorder="1" applyAlignment="1" applyProtection="1">
      <alignment horizontal="right" vertical="center"/>
      <protection locked="0"/>
    </xf>
    <xf numFmtId="3" fontId="5" fillId="0" borderId="403" xfId="7" applyNumberFormat="1" applyFont="1" applyBorder="1" applyAlignment="1">
      <alignment horizontal="right" vertical="center"/>
    </xf>
    <xf numFmtId="4" fontId="5" fillId="0" borderId="403" xfId="7" applyNumberFormat="1" applyFont="1" applyBorder="1" applyAlignment="1">
      <alignment horizontal="right" vertical="center"/>
    </xf>
    <xf numFmtId="49" fontId="31" fillId="0" borderId="57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57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8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3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7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7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7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7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7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7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7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7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79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582" xfId="1" applyNumberFormat="1" applyFont="1" applyFill="1" applyBorder="1" applyAlignment="1" applyProtection="1">
      <alignment horizontal="right" vertical="center"/>
      <protection locked="0"/>
    </xf>
    <xf numFmtId="3" fontId="8" fillId="0" borderId="581" xfId="6" applyNumberFormat="1" applyFont="1" applyFill="1" applyBorder="1" applyAlignment="1" applyProtection="1">
      <alignment horizontal="right" vertical="center"/>
      <protection locked="0"/>
    </xf>
    <xf numFmtId="4" fontId="8" fillId="0" borderId="581" xfId="6" applyNumberFormat="1" applyFont="1" applyFill="1" applyBorder="1" applyAlignment="1" applyProtection="1">
      <alignment horizontal="right" vertical="center"/>
      <protection locked="0"/>
    </xf>
    <xf numFmtId="10" fontId="8" fillId="0" borderId="582" xfId="1" applyNumberFormat="1" applyFont="1" applyFill="1" applyBorder="1" applyAlignment="1" applyProtection="1">
      <alignment horizontal="right" vertical="center"/>
      <protection locked="0"/>
    </xf>
    <xf numFmtId="10" fontId="16" fillId="0" borderId="582" xfId="1" applyNumberFormat="1" applyFont="1" applyFill="1" applyBorder="1" applyAlignment="1" applyProtection="1">
      <alignment horizontal="right" vertical="center"/>
      <protection locked="0"/>
    </xf>
    <xf numFmtId="3" fontId="5" fillId="0" borderId="584" xfId="6" applyNumberFormat="1" applyFont="1" applyFill="1" applyBorder="1" applyAlignment="1" applyProtection="1">
      <alignment horizontal="right" vertical="center"/>
      <protection locked="0"/>
    </xf>
    <xf numFmtId="4" fontId="5" fillId="0" borderId="584" xfId="6" applyNumberFormat="1" applyFont="1" applyFill="1" applyBorder="1" applyAlignment="1" applyProtection="1">
      <alignment horizontal="right" vertical="center"/>
      <protection locked="0"/>
    </xf>
    <xf numFmtId="10" fontId="5" fillId="0" borderId="585" xfId="1" applyNumberFormat="1" applyFont="1" applyFill="1" applyBorder="1" applyAlignment="1" applyProtection="1">
      <alignment horizontal="right" vertical="center"/>
      <protection locked="0"/>
    </xf>
    <xf numFmtId="49" fontId="5" fillId="17" borderId="58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87" xfId="6" applyNumberFormat="1" applyFont="1" applyFill="1" applyBorder="1" applyAlignment="1" applyProtection="1">
      <alignment horizontal="center" vertical="center" wrapText="1"/>
      <protection locked="0"/>
    </xf>
    <xf numFmtId="3" fontId="13" fillId="6" borderId="403" xfId="6" applyNumberFormat="1" applyFont="1" applyFill="1" applyBorder="1" applyAlignment="1" applyProtection="1">
      <alignment horizontal="right" vertical="center"/>
      <protection locked="0"/>
    </xf>
    <xf numFmtId="4" fontId="13" fillId="6" borderId="403" xfId="6" applyNumberFormat="1" applyFont="1" applyFill="1" applyBorder="1" applyAlignment="1" applyProtection="1">
      <alignment horizontal="right" vertical="center"/>
      <protection locked="0"/>
    </xf>
    <xf numFmtId="3" fontId="8" fillId="6" borderId="590" xfId="6" applyNumberFormat="1" applyFont="1" applyFill="1" applyBorder="1" applyAlignment="1" applyProtection="1">
      <alignment horizontal="right" vertical="center"/>
      <protection locked="0"/>
    </xf>
    <xf numFmtId="4" fontId="8" fillId="6" borderId="590" xfId="6" applyNumberFormat="1" applyFont="1" applyFill="1" applyBorder="1" applyAlignment="1" applyProtection="1">
      <alignment horizontal="right" vertical="center"/>
      <protection locked="0"/>
    </xf>
    <xf numFmtId="10" fontId="8" fillId="0" borderId="591" xfId="1" applyNumberFormat="1" applyFont="1" applyFill="1" applyBorder="1" applyAlignment="1" applyProtection="1">
      <alignment horizontal="right" vertical="center"/>
      <protection locked="0"/>
    </xf>
    <xf numFmtId="10" fontId="5" fillId="0" borderId="591" xfId="1" applyNumberFormat="1" applyFont="1" applyFill="1" applyBorder="1" applyAlignment="1" applyProtection="1">
      <alignment horizontal="right" vertical="center"/>
      <protection locked="0"/>
    </xf>
    <xf numFmtId="49" fontId="5" fillId="17" borderId="188" xfId="6" applyNumberFormat="1" applyFont="1" applyFill="1" applyBorder="1" applyAlignment="1" applyProtection="1">
      <alignment horizontal="center" vertical="center" wrapText="1"/>
      <protection locked="0"/>
    </xf>
    <xf numFmtId="49" fontId="5" fillId="21" borderId="592" xfId="6" applyNumberFormat="1" applyFont="1" applyFill="1" applyBorder="1" applyAlignment="1" applyProtection="1">
      <alignment horizontal="left" vertical="center" wrapText="1"/>
      <protection locked="0"/>
    </xf>
    <xf numFmtId="3" fontId="8" fillId="2" borderId="178" xfId="6" applyNumberFormat="1" applyFont="1" applyFill="1" applyBorder="1" applyAlignment="1" applyProtection="1">
      <alignment horizontal="right" vertical="center"/>
      <protection locked="0"/>
    </xf>
    <xf numFmtId="4" fontId="8" fillId="2" borderId="178" xfId="6" applyNumberFormat="1" applyFont="1" applyFill="1" applyBorder="1" applyAlignment="1" applyProtection="1">
      <alignment horizontal="right" vertical="center"/>
      <protection locked="0"/>
    </xf>
    <xf numFmtId="3" fontId="5" fillId="0" borderId="597" xfId="6" applyNumberFormat="1" applyFont="1" applyFill="1" applyBorder="1" applyAlignment="1" applyProtection="1">
      <alignment horizontal="right" vertical="center"/>
      <protection locked="0"/>
    </xf>
    <xf numFmtId="4" fontId="5" fillId="0" borderId="597" xfId="6" applyNumberFormat="1" applyFont="1" applyFill="1" applyBorder="1" applyAlignment="1" applyProtection="1">
      <alignment horizontal="right" vertical="center"/>
      <protection locked="0"/>
    </xf>
    <xf numFmtId="3" fontId="13" fillId="0" borderId="597" xfId="6" applyNumberFormat="1" applyFont="1" applyFill="1" applyBorder="1" applyAlignment="1" applyProtection="1">
      <alignment horizontal="right" vertical="center"/>
      <protection locked="0"/>
    </xf>
    <xf numFmtId="4" fontId="13" fillId="0" borderId="597" xfId="6" applyNumberFormat="1" applyFont="1" applyFill="1" applyBorder="1" applyAlignment="1" applyProtection="1">
      <alignment horizontal="right" vertical="center"/>
      <protection locked="0"/>
    </xf>
    <xf numFmtId="49" fontId="5" fillId="17" borderId="59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99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597" xfId="6" applyNumberFormat="1" applyFont="1" applyFill="1" applyBorder="1" applyAlignment="1" applyProtection="1">
      <alignment horizontal="right" vertical="center"/>
      <protection locked="0"/>
    </xf>
    <xf numFmtId="4" fontId="16" fillId="0" borderId="597" xfId="6" applyNumberFormat="1" applyFont="1" applyFill="1" applyBorder="1" applyAlignment="1" applyProtection="1">
      <alignment horizontal="right" vertical="center"/>
      <protection locked="0"/>
    </xf>
    <xf numFmtId="10" fontId="16" fillId="0" borderId="591" xfId="1" applyNumberFormat="1" applyFont="1" applyFill="1" applyBorder="1" applyAlignment="1" applyProtection="1">
      <alignment horizontal="right" vertical="center"/>
      <protection locked="0"/>
    </xf>
    <xf numFmtId="3" fontId="5" fillId="0" borderId="600" xfId="6" applyNumberFormat="1" applyFont="1" applyFill="1" applyBorder="1" applyAlignment="1" applyProtection="1">
      <alignment horizontal="right" vertical="center"/>
      <protection locked="0"/>
    </xf>
    <xf numFmtId="4" fontId="5" fillId="0" borderId="600" xfId="6" applyNumberFormat="1" applyFont="1" applyFill="1" applyBorder="1" applyAlignment="1" applyProtection="1">
      <alignment horizontal="right" vertical="center"/>
      <protection locked="0"/>
    </xf>
    <xf numFmtId="49" fontId="5" fillId="17" borderId="60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0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04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118" xfId="6" applyNumberFormat="1" applyFont="1" applyFill="1" applyBorder="1" applyAlignment="1" applyProtection="1">
      <alignment horizontal="right" vertical="center"/>
      <protection locked="0"/>
    </xf>
    <xf numFmtId="4" fontId="16" fillId="0" borderId="118" xfId="6" applyNumberFormat="1" applyFont="1" applyFill="1" applyBorder="1" applyAlignment="1" applyProtection="1">
      <alignment horizontal="right" vertical="center"/>
      <protection locked="0"/>
    </xf>
    <xf numFmtId="10" fontId="16" fillId="0" borderId="10" xfId="1" applyNumberFormat="1" applyFont="1" applyFill="1" applyBorder="1" applyAlignment="1" applyProtection="1">
      <alignment horizontal="right" vertical="center"/>
      <protection locked="0"/>
    </xf>
    <xf numFmtId="3" fontId="8" fillId="0" borderId="178" xfId="6" applyNumberFormat="1" applyFont="1" applyFill="1" applyBorder="1" applyAlignment="1" applyProtection="1">
      <alignment horizontal="right" vertical="center"/>
      <protection locked="0"/>
    </xf>
    <xf numFmtId="4" fontId="8" fillId="0" borderId="178" xfId="6" applyNumberFormat="1" applyFont="1" applyFill="1" applyBorder="1" applyAlignment="1" applyProtection="1">
      <alignment horizontal="right" vertical="center"/>
      <protection locked="0"/>
    </xf>
    <xf numFmtId="10" fontId="8" fillId="0" borderId="606" xfId="1" applyNumberFormat="1" applyFont="1" applyFill="1" applyBorder="1" applyAlignment="1" applyProtection="1">
      <alignment horizontal="right" vertical="center"/>
      <protection locked="0"/>
    </xf>
    <xf numFmtId="3" fontId="5" fillId="0" borderId="607" xfId="6" applyNumberFormat="1" applyFont="1" applyFill="1" applyBorder="1" applyAlignment="1" applyProtection="1">
      <alignment horizontal="right" vertical="center"/>
      <protection locked="0"/>
    </xf>
    <xf numFmtId="4" fontId="5" fillId="0" borderId="607" xfId="6" applyNumberFormat="1" applyFont="1" applyFill="1" applyBorder="1" applyAlignment="1" applyProtection="1">
      <alignment horizontal="right" vertical="center"/>
      <protection locked="0"/>
    </xf>
    <xf numFmtId="3" fontId="5" fillId="0" borderId="608" xfId="6" applyNumberFormat="1" applyFont="1" applyFill="1" applyBorder="1" applyAlignment="1" applyProtection="1">
      <alignment horizontal="right" vertical="center"/>
      <protection locked="0"/>
    </xf>
    <xf numFmtId="4" fontId="5" fillId="0" borderId="608" xfId="6" applyNumberFormat="1" applyFont="1" applyFill="1" applyBorder="1" applyAlignment="1" applyProtection="1">
      <alignment horizontal="right" vertical="center"/>
      <protection locked="0"/>
    </xf>
    <xf numFmtId="49" fontId="5" fillId="17" borderId="609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590" xfId="6" applyNumberFormat="1" applyFont="1" applyFill="1" applyBorder="1" applyAlignment="1" applyProtection="1">
      <alignment horizontal="right" vertical="center"/>
      <protection locked="0"/>
    </xf>
    <xf numFmtId="4" fontId="5" fillId="0" borderId="590" xfId="6" applyNumberFormat="1" applyFont="1" applyFill="1" applyBorder="1" applyAlignment="1" applyProtection="1">
      <alignment horizontal="right" vertical="center"/>
      <protection locked="0"/>
    </xf>
    <xf numFmtId="3" fontId="16" fillId="0" borderId="608" xfId="6" applyNumberFormat="1" applyFont="1" applyFill="1" applyBorder="1" applyAlignment="1" applyProtection="1">
      <alignment horizontal="right" vertical="center"/>
      <protection locked="0"/>
    </xf>
    <xf numFmtId="4" fontId="16" fillId="0" borderId="608" xfId="6" applyNumberFormat="1" applyFont="1" applyFill="1" applyBorder="1" applyAlignment="1" applyProtection="1">
      <alignment horizontal="right" vertical="center"/>
      <protection locked="0"/>
    </xf>
    <xf numFmtId="49" fontId="12" fillId="20" borderId="441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610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61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1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1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1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1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1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2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2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22" xfId="6" applyNumberFormat="1" applyFont="1" applyFill="1" applyBorder="1" applyAlignment="1" applyProtection="1">
      <alignment horizontal="right" vertical="center"/>
      <protection locked="0"/>
    </xf>
    <xf numFmtId="4" fontId="5" fillId="0" borderId="622" xfId="6" applyNumberFormat="1" applyFont="1" applyFill="1" applyBorder="1" applyAlignment="1" applyProtection="1">
      <alignment horizontal="right" vertical="center"/>
      <protection locked="0"/>
    </xf>
    <xf numFmtId="3" fontId="13" fillId="0" borderId="626" xfId="6" applyNumberFormat="1" applyFont="1" applyFill="1" applyBorder="1" applyAlignment="1" applyProtection="1">
      <alignment horizontal="right" vertical="center"/>
      <protection locked="0"/>
    </xf>
    <xf numFmtId="4" fontId="13" fillId="0" borderId="626" xfId="6" applyNumberFormat="1" applyFont="1" applyFill="1" applyBorder="1" applyAlignment="1" applyProtection="1">
      <alignment horizontal="right" vertical="center"/>
      <protection locked="0"/>
    </xf>
    <xf numFmtId="49" fontId="5" fillId="17" borderId="62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2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3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29" xfId="6" applyNumberFormat="1" applyFont="1" applyFill="1" applyBorder="1" applyAlignment="1" applyProtection="1">
      <alignment horizontal="center" vertical="center" wrapText="1"/>
      <protection locked="0"/>
    </xf>
    <xf numFmtId="49" fontId="12" fillId="10" borderId="247" xfId="6" applyNumberFormat="1" applyFont="1" applyFill="1" applyBorder="1" applyAlignment="1" applyProtection="1">
      <alignment horizontal="center" vertical="center" wrapText="1"/>
      <protection locked="0"/>
    </xf>
    <xf numFmtId="0" fontId="5" fillId="10" borderId="631" xfId="6" applyNumberFormat="1" applyFont="1" applyFill="1" applyBorder="1" applyAlignment="1" applyProtection="1">
      <alignment horizontal="left" vertical="center"/>
      <protection locked="0"/>
    </xf>
    <xf numFmtId="49" fontId="12" fillId="10" borderId="25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32" xfId="6" applyNumberFormat="1" applyFont="1" applyFill="1" applyBorder="1" applyAlignment="1" applyProtection="1">
      <alignment horizontal="left" vertical="center" wrapText="1"/>
      <protection locked="0"/>
    </xf>
    <xf numFmtId="3" fontId="8" fillId="0" borderId="635" xfId="6" applyNumberFormat="1" applyFont="1" applyFill="1" applyBorder="1" applyAlignment="1" applyProtection="1">
      <alignment horizontal="right" vertical="center"/>
      <protection locked="0"/>
    </xf>
    <xf numFmtId="4" fontId="8" fillId="0" borderId="635" xfId="6" applyNumberFormat="1" applyFont="1" applyFill="1" applyBorder="1" applyAlignment="1" applyProtection="1">
      <alignment horizontal="right" vertical="center"/>
      <protection locked="0"/>
    </xf>
    <xf numFmtId="10" fontId="8" fillId="0" borderId="636" xfId="1" applyNumberFormat="1" applyFont="1" applyFill="1" applyBorder="1" applyAlignment="1" applyProtection="1">
      <alignment horizontal="right" vertical="center"/>
      <protection locked="0"/>
    </xf>
    <xf numFmtId="10" fontId="5" fillId="0" borderId="636" xfId="1" applyNumberFormat="1" applyFont="1" applyFill="1" applyBorder="1" applyAlignment="1" applyProtection="1">
      <alignment horizontal="right" vertical="center"/>
      <protection locked="0"/>
    </xf>
    <xf numFmtId="49" fontId="5" fillId="17" borderId="63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3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4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4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68" xfId="6" applyNumberFormat="1" applyFont="1" applyFill="1" applyBorder="1" applyAlignment="1" applyProtection="1">
      <alignment vertical="center" wrapText="1"/>
      <protection locked="0"/>
    </xf>
    <xf numFmtId="10" fontId="5" fillId="0" borderId="642" xfId="1" applyNumberFormat="1" applyFont="1" applyFill="1" applyBorder="1" applyAlignment="1" applyProtection="1">
      <alignment horizontal="right" vertical="center"/>
      <protection locked="0"/>
    </xf>
    <xf numFmtId="49" fontId="5" fillId="17" borderId="64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44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45" xfId="6" applyNumberFormat="1" applyFont="1" applyFill="1" applyBorder="1" applyAlignment="1" applyProtection="1">
      <alignment horizontal="right" vertical="center"/>
      <protection locked="0"/>
    </xf>
    <xf numFmtId="4" fontId="5" fillId="0" borderId="645" xfId="6" applyNumberFormat="1" applyFont="1" applyFill="1" applyBorder="1" applyAlignment="1" applyProtection="1">
      <alignment horizontal="right" vertical="center"/>
      <protection locked="0"/>
    </xf>
    <xf numFmtId="10" fontId="5" fillId="0" borderId="646" xfId="1" applyNumberFormat="1" applyFont="1" applyFill="1" applyBorder="1" applyAlignment="1" applyProtection="1">
      <alignment horizontal="right" vertical="center"/>
      <protection locked="0"/>
    </xf>
    <xf numFmtId="49" fontId="5" fillId="17" borderId="647" xfId="6" applyNumberFormat="1" applyFont="1" applyFill="1" applyBorder="1" applyAlignment="1" applyProtection="1">
      <alignment vertical="center" wrapText="1"/>
      <protection locked="0"/>
    </xf>
    <xf numFmtId="10" fontId="16" fillId="0" borderId="642" xfId="1" applyNumberFormat="1" applyFont="1" applyFill="1" applyBorder="1" applyAlignment="1" applyProtection="1">
      <alignment horizontal="right" vertical="center"/>
      <protection locked="0"/>
    </xf>
    <xf numFmtId="3" fontId="13" fillId="0" borderId="649" xfId="6" applyNumberFormat="1" applyFont="1" applyFill="1" applyBorder="1" applyAlignment="1" applyProtection="1">
      <alignment horizontal="right" vertical="center"/>
      <protection locked="0"/>
    </xf>
    <xf numFmtId="4" fontId="13" fillId="0" borderId="649" xfId="6" applyNumberFormat="1" applyFont="1" applyFill="1" applyBorder="1" applyAlignment="1" applyProtection="1">
      <alignment horizontal="right" vertical="center"/>
      <protection locked="0"/>
    </xf>
    <xf numFmtId="10" fontId="5" fillId="0" borderId="650" xfId="1" applyNumberFormat="1" applyFont="1" applyFill="1" applyBorder="1" applyAlignment="1" applyProtection="1">
      <alignment horizontal="right" vertical="center"/>
      <protection locked="0"/>
    </xf>
    <xf numFmtId="49" fontId="5" fillId="17" borderId="65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5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5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5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5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5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5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641" xfId="6" applyNumberFormat="1" applyFont="1" applyFill="1" applyBorder="1" applyAlignment="1" applyProtection="1">
      <alignment horizontal="left" vertical="center" wrapText="1"/>
      <protection locked="0"/>
    </xf>
    <xf numFmtId="3" fontId="8" fillId="0" borderId="659" xfId="6" applyNumberFormat="1" applyFont="1" applyFill="1" applyBorder="1" applyAlignment="1" applyProtection="1">
      <alignment horizontal="right" vertical="center"/>
      <protection locked="0"/>
    </xf>
    <xf numFmtId="4" fontId="8" fillId="0" borderId="659" xfId="6" applyNumberFormat="1" applyFont="1" applyFill="1" applyBorder="1" applyAlignment="1" applyProtection="1">
      <alignment horizontal="right" vertical="center"/>
      <protection locked="0"/>
    </xf>
    <xf numFmtId="10" fontId="8" fillId="0" borderId="660" xfId="1" applyNumberFormat="1" applyFont="1" applyFill="1" applyBorder="1" applyAlignment="1" applyProtection="1">
      <alignment horizontal="right" vertical="center"/>
      <protection locked="0"/>
    </xf>
    <xf numFmtId="10" fontId="5" fillId="0" borderId="660" xfId="1" applyNumberFormat="1" applyFont="1" applyFill="1" applyBorder="1" applyAlignment="1" applyProtection="1">
      <alignment horizontal="right" vertical="center"/>
      <protection locked="0"/>
    </xf>
    <xf numFmtId="49" fontId="5" fillId="17" borderId="66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6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63" xfId="6" applyNumberFormat="1" applyFont="1" applyFill="1" applyBorder="1" applyAlignment="1" applyProtection="1">
      <alignment horizontal="right" vertical="center"/>
      <protection locked="0"/>
    </xf>
    <xf numFmtId="4" fontId="5" fillId="0" borderId="663" xfId="6" applyNumberFormat="1" applyFont="1" applyFill="1" applyBorder="1" applyAlignment="1" applyProtection="1">
      <alignment horizontal="right" vertical="center"/>
      <protection locked="0"/>
    </xf>
    <xf numFmtId="10" fontId="5" fillId="0" borderId="664" xfId="1" applyNumberFormat="1" applyFont="1" applyFill="1" applyBorder="1" applyAlignment="1" applyProtection="1">
      <alignment horizontal="right" vertical="center"/>
      <protection locked="0"/>
    </xf>
    <xf numFmtId="49" fontId="5" fillId="17" borderId="665" xfId="6" applyNumberFormat="1" applyFont="1" applyFill="1" applyBorder="1" applyAlignment="1" applyProtection="1">
      <alignment horizontal="center" vertical="center" wrapText="1"/>
      <protection locked="0"/>
    </xf>
    <xf numFmtId="10" fontId="16" fillId="0" borderId="664" xfId="1" applyNumberFormat="1" applyFont="1" applyFill="1" applyBorder="1" applyAlignment="1" applyProtection="1">
      <alignment horizontal="right" vertical="center"/>
      <protection locked="0"/>
    </xf>
    <xf numFmtId="3" fontId="5" fillId="0" borderId="668" xfId="6" applyNumberFormat="1" applyFont="1" applyFill="1" applyBorder="1" applyAlignment="1" applyProtection="1">
      <alignment horizontal="right" vertical="center"/>
      <protection locked="0"/>
    </xf>
    <xf numFmtId="4" fontId="5" fillId="0" borderId="668" xfId="6" applyNumberFormat="1" applyFont="1" applyFill="1" applyBorder="1" applyAlignment="1" applyProtection="1">
      <alignment horizontal="right" vertical="center"/>
      <protection locked="0"/>
    </xf>
    <xf numFmtId="10" fontId="5" fillId="0" borderId="669" xfId="1" applyNumberFormat="1" applyFont="1" applyFill="1" applyBorder="1" applyAlignment="1" applyProtection="1">
      <alignment horizontal="right" vertical="center"/>
      <protection locked="0"/>
    </xf>
    <xf numFmtId="10" fontId="16" fillId="0" borderId="669" xfId="1" applyNumberFormat="1" applyFont="1" applyFill="1" applyBorder="1" applyAlignment="1" applyProtection="1">
      <alignment horizontal="right" vertical="center"/>
      <protection locked="0"/>
    </xf>
    <xf numFmtId="3" fontId="8" fillId="0" borderId="671" xfId="6" applyNumberFormat="1" applyFont="1" applyFill="1" applyBorder="1" applyAlignment="1" applyProtection="1">
      <alignment horizontal="right" vertical="center"/>
      <protection locked="0"/>
    </xf>
    <xf numFmtId="4" fontId="8" fillId="0" borderId="671" xfId="6" applyNumberFormat="1" applyFont="1" applyFill="1" applyBorder="1" applyAlignment="1" applyProtection="1">
      <alignment horizontal="right" vertical="center"/>
      <protection locked="0"/>
    </xf>
    <xf numFmtId="10" fontId="8" fillId="0" borderId="672" xfId="1" applyNumberFormat="1" applyFont="1" applyFill="1" applyBorder="1" applyAlignment="1" applyProtection="1">
      <alignment horizontal="right" vertical="center"/>
      <protection locked="0"/>
    </xf>
    <xf numFmtId="10" fontId="5" fillId="0" borderId="672" xfId="1" applyNumberFormat="1" applyFont="1" applyFill="1" applyBorder="1" applyAlignment="1" applyProtection="1">
      <alignment horizontal="right" vertical="center"/>
      <protection locked="0"/>
    </xf>
    <xf numFmtId="49" fontId="5" fillId="17" borderId="10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7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74" xfId="6" applyNumberFormat="1" applyFont="1" applyFill="1" applyBorder="1" applyAlignment="1" applyProtection="1">
      <alignment horizontal="left" vertical="center" wrapText="1"/>
      <protection locked="0"/>
    </xf>
    <xf numFmtId="10" fontId="16" fillId="0" borderId="672" xfId="1" applyNumberFormat="1" applyFont="1" applyFill="1" applyBorder="1" applyAlignment="1" applyProtection="1">
      <alignment horizontal="right" vertical="center"/>
      <protection locked="0"/>
    </xf>
    <xf numFmtId="3" fontId="13" fillId="0" borderId="675" xfId="6" applyNumberFormat="1" applyFont="1" applyFill="1" applyBorder="1" applyAlignment="1" applyProtection="1">
      <alignment horizontal="right" vertical="center"/>
      <protection locked="0"/>
    </xf>
    <xf numFmtId="4" fontId="13" fillId="0" borderId="675" xfId="6" applyNumberFormat="1" applyFont="1" applyFill="1" applyBorder="1" applyAlignment="1" applyProtection="1">
      <alignment horizontal="right" vertical="center"/>
      <protection locked="0"/>
    </xf>
    <xf numFmtId="49" fontId="5" fillId="17" borderId="67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7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79" xfId="6" applyNumberFormat="1" applyFont="1" applyFill="1" applyBorder="1" applyAlignment="1" applyProtection="1">
      <alignment horizontal="left" vertical="center" wrapText="1"/>
      <protection locked="0"/>
    </xf>
    <xf numFmtId="49" fontId="12" fillId="20" borderId="178" xfId="6" applyNumberFormat="1" applyFont="1" applyFill="1" applyBorder="1" applyAlignment="1" applyProtection="1">
      <alignment horizontal="center" vertical="center" wrapText="1"/>
      <protection locked="0"/>
    </xf>
    <xf numFmtId="10" fontId="5" fillId="0" borderId="686" xfId="1" applyNumberFormat="1" applyFont="1" applyFill="1" applyBorder="1" applyAlignment="1" applyProtection="1">
      <alignment horizontal="right" vertical="center"/>
      <protection locked="0"/>
    </xf>
    <xf numFmtId="49" fontId="5" fillId="17" borderId="687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68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89" xfId="6" applyNumberFormat="1" applyFont="1" applyFill="1" applyBorder="1" applyAlignment="1" applyProtection="1">
      <alignment horizontal="left" vertical="center" wrapText="1"/>
      <protection locked="0"/>
    </xf>
    <xf numFmtId="49" fontId="16" fillId="0" borderId="7" xfId="6" applyNumberFormat="1" applyFont="1" applyFill="1" applyBorder="1" applyAlignment="1" applyProtection="1">
      <alignment vertical="center" wrapText="1"/>
      <protection locked="0"/>
    </xf>
    <xf numFmtId="49" fontId="8" fillId="0" borderId="1" xfId="6" applyNumberFormat="1" applyFont="1" applyFill="1" applyBorder="1" applyAlignment="1" applyProtection="1">
      <alignment horizontal="left" vertical="center" wrapText="1"/>
      <protection locked="0"/>
    </xf>
    <xf numFmtId="10" fontId="8" fillId="0" borderId="691" xfId="1" applyNumberFormat="1" applyFont="1" applyFill="1" applyBorder="1" applyAlignment="1" applyProtection="1">
      <alignment horizontal="right" vertical="center"/>
      <protection locked="0"/>
    </xf>
    <xf numFmtId="10" fontId="5" fillId="0" borderId="691" xfId="1" applyNumberFormat="1" applyFont="1" applyFill="1" applyBorder="1" applyAlignment="1" applyProtection="1">
      <alignment horizontal="right" vertical="center"/>
      <protection locked="0"/>
    </xf>
    <xf numFmtId="49" fontId="5" fillId="17" borderId="69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90" xfId="6" applyNumberFormat="1" applyFont="1" applyFill="1" applyBorder="1" applyAlignment="1" applyProtection="1">
      <alignment horizontal="right" vertical="center"/>
      <protection locked="0"/>
    </xf>
    <xf numFmtId="4" fontId="5" fillId="0" borderId="690" xfId="6" applyNumberFormat="1" applyFont="1" applyFill="1" applyBorder="1" applyAlignment="1" applyProtection="1">
      <alignment horizontal="right" vertical="center"/>
      <protection locked="0"/>
    </xf>
    <xf numFmtId="3" fontId="13" fillId="0" borderId="690" xfId="6" applyNumberFormat="1" applyFont="1" applyFill="1" applyBorder="1" applyAlignment="1" applyProtection="1">
      <alignment horizontal="right" vertical="center"/>
      <protection locked="0"/>
    </xf>
    <xf numFmtId="4" fontId="13" fillId="0" borderId="690" xfId="6" applyNumberFormat="1" applyFont="1" applyFill="1" applyBorder="1" applyAlignment="1" applyProtection="1">
      <alignment horizontal="right" vertical="center"/>
      <protection locked="0"/>
    </xf>
    <xf numFmtId="3" fontId="8" fillId="0" borderId="693" xfId="6" applyNumberFormat="1" applyFont="1" applyFill="1" applyBorder="1" applyAlignment="1" applyProtection="1">
      <alignment horizontal="right" vertical="center"/>
      <protection locked="0"/>
    </xf>
    <xf numFmtId="4" fontId="8" fillId="0" borderId="693" xfId="6" applyNumberFormat="1" applyFont="1" applyFill="1" applyBorder="1" applyAlignment="1" applyProtection="1">
      <alignment horizontal="right" vertical="center"/>
      <protection locked="0"/>
    </xf>
    <xf numFmtId="10" fontId="8" fillId="0" borderId="694" xfId="1" applyNumberFormat="1" applyFont="1" applyFill="1" applyBorder="1" applyAlignment="1" applyProtection="1">
      <alignment horizontal="right" vertical="center"/>
      <protection locked="0"/>
    </xf>
    <xf numFmtId="3" fontId="5" fillId="0" borderId="693" xfId="6" applyNumberFormat="1" applyFont="1" applyFill="1" applyBorder="1" applyAlignment="1" applyProtection="1">
      <alignment horizontal="right" vertical="center"/>
      <protection locked="0"/>
    </xf>
    <xf numFmtId="4" fontId="5" fillId="0" borderId="693" xfId="6" applyNumberFormat="1" applyFont="1" applyFill="1" applyBorder="1" applyAlignment="1" applyProtection="1">
      <alignment horizontal="right" vertical="center"/>
      <protection locked="0"/>
    </xf>
    <xf numFmtId="10" fontId="5" fillId="0" borderId="694" xfId="1" applyNumberFormat="1" applyFont="1" applyFill="1" applyBorder="1" applyAlignment="1" applyProtection="1">
      <alignment horizontal="right" vertical="center"/>
      <protection locked="0"/>
    </xf>
    <xf numFmtId="3" fontId="13" fillId="0" borderId="693" xfId="6" applyNumberFormat="1" applyFont="1" applyFill="1" applyBorder="1" applyAlignment="1" applyProtection="1">
      <alignment horizontal="right" vertical="center"/>
      <protection locked="0"/>
    </xf>
    <xf numFmtId="4" fontId="13" fillId="0" borderId="693" xfId="6" applyNumberFormat="1" applyFont="1" applyFill="1" applyBorder="1" applyAlignment="1" applyProtection="1">
      <alignment horizontal="right" vertical="center"/>
      <protection locked="0"/>
    </xf>
    <xf numFmtId="49" fontId="8" fillId="0" borderId="695" xfId="6" applyNumberFormat="1" applyFont="1" applyFill="1" applyBorder="1" applyAlignment="1" applyProtection="1">
      <alignment horizontal="left" vertical="center" wrapText="1"/>
      <protection locked="0"/>
    </xf>
    <xf numFmtId="49" fontId="16" fillId="0" borderId="178" xfId="6" applyNumberFormat="1" applyFont="1" applyFill="1" applyBorder="1" applyAlignment="1" applyProtection="1">
      <alignment vertical="center" wrapText="1"/>
      <protection locked="0"/>
    </xf>
    <xf numFmtId="49" fontId="5" fillId="0" borderId="657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696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67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9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98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99" xfId="6" applyNumberFormat="1" applyFont="1" applyFill="1" applyBorder="1" applyAlignment="1" applyProtection="1">
      <alignment horizontal="right" vertical="center"/>
      <protection locked="0"/>
    </xf>
    <xf numFmtId="4" fontId="5" fillId="0" borderId="699" xfId="6" applyNumberFormat="1" applyFont="1" applyFill="1" applyBorder="1" applyAlignment="1" applyProtection="1">
      <alignment horizontal="right" vertical="center"/>
      <protection locked="0"/>
    </xf>
    <xf numFmtId="49" fontId="5" fillId="17" borderId="70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701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702" xfId="6" applyNumberFormat="1" applyFont="1" applyFill="1" applyBorder="1" applyAlignment="1" applyProtection="1">
      <alignment horizontal="left" vertical="center" wrapText="1"/>
      <protection locked="0"/>
    </xf>
    <xf numFmtId="3" fontId="8" fillId="0" borderId="690" xfId="6" applyNumberFormat="1" applyFont="1" applyFill="1" applyBorder="1" applyAlignment="1" applyProtection="1">
      <alignment vertical="center"/>
      <protection locked="0"/>
    </xf>
    <xf numFmtId="4" fontId="8" fillId="0" borderId="690" xfId="6" applyNumberFormat="1" applyFont="1" applyFill="1" applyBorder="1" applyAlignment="1" applyProtection="1">
      <alignment vertical="center"/>
      <protection locked="0"/>
    </xf>
    <xf numFmtId="49" fontId="5" fillId="21" borderId="705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707" xfId="6" applyNumberFormat="1" applyFont="1" applyFill="1" applyBorder="1" applyAlignment="1" applyProtection="1">
      <alignment horizontal="right" vertical="center"/>
      <protection locked="0"/>
    </xf>
    <xf numFmtId="4" fontId="5" fillId="0" borderId="707" xfId="6" applyNumberFormat="1" applyFont="1" applyFill="1" applyBorder="1" applyAlignment="1" applyProtection="1">
      <alignment horizontal="right" vertical="center"/>
      <protection locked="0"/>
    </xf>
    <xf numFmtId="10" fontId="5" fillId="0" borderId="708" xfId="1" applyNumberFormat="1" applyFont="1" applyFill="1" applyBorder="1" applyAlignment="1" applyProtection="1">
      <alignment horizontal="right" vertical="center"/>
      <protection locked="0"/>
    </xf>
    <xf numFmtId="3" fontId="5" fillId="0" borderId="699" xfId="6" applyNumberFormat="1" applyFont="1" applyFill="1" applyBorder="1" applyAlignment="1" applyProtection="1">
      <alignment vertical="center"/>
      <protection locked="0"/>
    </xf>
    <xf numFmtId="4" fontId="5" fillId="0" borderId="699" xfId="6" applyNumberFormat="1" applyFont="1" applyFill="1" applyBorder="1" applyAlignment="1" applyProtection="1">
      <alignment vertical="center"/>
      <protection locked="0"/>
    </xf>
    <xf numFmtId="49" fontId="5" fillId="21" borderId="713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714" xfId="0" applyNumberFormat="1" applyFont="1" applyBorder="1" applyAlignment="1">
      <alignment vertical="center" wrapText="1"/>
    </xf>
    <xf numFmtId="49" fontId="5" fillId="0" borderId="71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716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717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597" xfId="6" applyNumberFormat="1" applyFont="1" applyFill="1" applyBorder="1" applyAlignment="1" applyProtection="1">
      <alignment horizontal="right" vertical="center"/>
      <protection locked="0"/>
    </xf>
    <xf numFmtId="3" fontId="32" fillId="0" borderId="597" xfId="6" applyNumberFormat="1" applyFont="1" applyFill="1" applyBorder="1" applyAlignment="1" applyProtection="1">
      <alignment horizontal="right" vertical="center"/>
      <protection locked="0"/>
    </xf>
    <xf numFmtId="49" fontId="31" fillId="17" borderId="71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14" xfId="6" applyNumberFormat="1" applyFont="1" applyFill="1" applyBorder="1" applyAlignment="1" applyProtection="1">
      <alignment horizontal="left" vertical="center" wrapText="1"/>
      <protection locked="0"/>
    </xf>
    <xf numFmtId="3" fontId="5" fillId="0" borderId="597" xfId="7" applyNumberFormat="1" applyFont="1" applyBorder="1" applyAlignment="1">
      <alignment horizontal="right" vertical="center"/>
    </xf>
    <xf numFmtId="4" fontId="5" fillId="0" borderId="597" xfId="7" applyNumberFormat="1" applyFont="1" applyBorder="1" applyAlignment="1">
      <alignment horizontal="right" vertical="center"/>
    </xf>
    <xf numFmtId="49" fontId="31" fillId="17" borderId="71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8" xfId="7" applyNumberFormat="1" applyFont="1" applyBorder="1" applyAlignment="1">
      <alignment horizontal="right" vertical="center"/>
    </xf>
    <xf numFmtId="4" fontId="5" fillId="0" borderId="118" xfId="7" applyNumberFormat="1" applyFont="1" applyBorder="1" applyAlignment="1">
      <alignment horizontal="right" vertical="center"/>
    </xf>
    <xf numFmtId="3" fontId="35" fillId="0" borderId="693" xfId="6" applyNumberFormat="1" applyFont="1" applyFill="1" applyBorder="1" applyAlignment="1" applyProtection="1">
      <alignment horizontal="right" vertical="center"/>
      <protection locked="0"/>
    </xf>
    <xf numFmtId="49" fontId="31" fillId="17" borderId="72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693" xfId="6" applyNumberFormat="1" applyFont="1" applyFill="1" applyBorder="1" applyAlignment="1" applyProtection="1">
      <alignment horizontal="right" vertical="center"/>
      <protection locked="0"/>
    </xf>
    <xf numFmtId="49" fontId="16" fillId="17" borderId="178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1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3" xfId="6" applyNumberFormat="1" applyFont="1" applyFill="1" applyBorder="1" applyAlignment="1" applyProtection="1">
      <alignment vertical="center" wrapText="1"/>
      <protection locked="0"/>
    </xf>
    <xf numFmtId="49" fontId="31" fillId="17" borderId="168" xfId="6" applyNumberFormat="1" applyFont="1" applyFill="1" applyBorder="1" applyAlignment="1" applyProtection="1">
      <alignment vertical="center" wrapText="1"/>
      <protection locked="0"/>
    </xf>
    <xf numFmtId="49" fontId="31" fillId="17" borderId="72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5" xfId="6" applyNumberFormat="1" applyFont="1" applyFill="1" applyBorder="1" applyAlignment="1" applyProtection="1">
      <alignment horizontal="left" vertical="center" wrapText="1"/>
      <protection locked="0"/>
    </xf>
    <xf numFmtId="3" fontId="32" fillId="0" borderId="693" xfId="6" applyNumberFormat="1" applyFont="1" applyFill="1" applyBorder="1" applyAlignment="1" applyProtection="1">
      <alignment horizontal="right" vertical="center"/>
      <protection locked="0"/>
    </xf>
    <xf numFmtId="3" fontId="14" fillId="0" borderId="597" xfId="7" applyNumberFormat="1" applyBorder="1" applyAlignment="1">
      <alignment vertical="center"/>
    </xf>
    <xf numFmtId="4" fontId="14" fillId="0" borderId="597" xfId="7" applyNumberFormat="1" applyBorder="1" applyAlignment="1">
      <alignment vertical="center"/>
    </xf>
    <xf numFmtId="49" fontId="31" fillId="17" borderId="72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8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723" xfId="6" applyNumberFormat="1" applyFont="1" applyFill="1" applyBorder="1" applyAlignment="1" applyProtection="1">
      <alignment vertical="center" wrapText="1"/>
      <protection locked="0"/>
    </xf>
    <xf numFmtId="49" fontId="16" fillId="17" borderId="168" xfId="6" applyNumberFormat="1" applyFont="1" applyFill="1" applyBorder="1" applyAlignment="1" applyProtection="1">
      <alignment vertical="center" wrapText="1"/>
      <protection locked="0"/>
    </xf>
    <xf numFmtId="49" fontId="31" fillId="17" borderId="71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29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730" xfId="6" applyNumberFormat="1" applyFont="1" applyFill="1" applyBorder="1" applyAlignment="1" applyProtection="1">
      <alignment horizontal="right" vertical="center"/>
      <protection locked="0"/>
    </xf>
    <xf numFmtId="3" fontId="8" fillId="0" borderId="730" xfId="6" applyNumberFormat="1" applyFont="1" applyFill="1" applyBorder="1" applyAlignment="1" applyProtection="1">
      <alignment horizontal="right" vertical="center"/>
      <protection locked="0"/>
    </xf>
    <xf numFmtId="4" fontId="8" fillId="0" borderId="730" xfId="6" applyNumberFormat="1" applyFont="1" applyFill="1" applyBorder="1" applyAlignment="1" applyProtection="1">
      <alignment horizontal="right" vertical="center"/>
      <protection locked="0"/>
    </xf>
    <xf numFmtId="10" fontId="8" fillId="0" borderId="731" xfId="1" applyNumberFormat="1" applyFont="1" applyFill="1" applyBorder="1" applyAlignment="1" applyProtection="1">
      <alignment horizontal="right" vertical="center"/>
      <protection locked="0"/>
    </xf>
    <xf numFmtId="10" fontId="5" fillId="0" borderId="731" xfId="1" applyNumberFormat="1" applyFont="1" applyFill="1" applyBorder="1" applyAlignment="1" applyProtection="1">
      <alignment horizontal="right" vertical="center"/>
      <protection locked="0"/>
    </xf>
    <xf numFmtId="49" fontId="31" fillId="17" borderId="732" xfId="6" applyNumberFormat="1" applyFont="1" applyFill="1" applyBorder="1" applyAlignment="1" applyProtection="1">
      <alignment vertical="center" wrapText="1"/>
      <protection locked="0"/>
    </xf>
    <xf numFmtId="3" fontId="31" fillId="0" borderId="734" xfId="6" applyNumberFormat="1" applyFont="1" applyFill="1" applyBorder="1" applyAlignment="1" applyProtection="1">
      <alignment horizontal="right" vertical="center"/>
      <protection locked="0"/>
    </xf>
    <xf numFmtId="3" fontId="5" fillId="0" borderId="734" xfId="6" applyNumberFormat="1" applyFont="1" applyFill="1" applyBorder="1" applyAlignment="1" applyProtection="1">
      <alignment horizontal="right" vertical="center"/>
      <protection locked="0"/>
    </xf>
    <xf numFmtId="4" fontId="5" fillId="0" borderId="734" xfId="6" applyNumberFormat="1" applyFont="1" applyFill="1" applyBorder="1" applyAlignment="1" applyProtection="1">
      <alignment horizontal="right" vertical="center"/>
      <protection locked="0"/>
    </xf>
    <xf numFmtId="10" fontId="5" fillId="0" borderId="735" xfId="1" applyNumberFormat="1" applyFont="1" applyFill="1" applyBorder="1" applyAlignment="1" applyProtection="1">
      <alignment horizontal="right" vertical="center"/>
      <protection locked="0"/>
    </xf>
    <xf numFmtId="3" fontId="35" fillId="0" borderId="737" xfId="6" applyNumberFormat="1" applyFont="1" applyFill="1" applyBorder="1" applyAlignment="1" applyProtection="1">
      <alignment horizontal="right" vertical="center"/>
      <protection locked="0"/>
    </xf>
    <xf numFmtId="3" fontId="8" fillId="0" borderId="737" xfId="6" applyNumberFormat="1" applyFont="1" applyFill="1" applyBorder="1" applyAlignment="1" applyProtection="1">
      <alignment horizontal="right" vertical="center"/>
      <protection locked="0"/>
    </xf>
    <xf numFmtId="4" fontId="8" fillId="0" borderId="737" xfId="6" applyNumberFormat="1" applyFont="1" applyFill="1" applyBorder="1" applyAlignment="1" applyProtection="1">
      <alignment horizontal="right" vertical="center"/>
      <protection locked="0"/>
    </xf>
    <xf numFmtId="10" fontId="8" fillId="0" borderId="738" xfId="1" applyNumberFormat="1" applyFont="1" applyFill="1" applyBorder="1" applyAlignment="1" applyProtection="1">
      <alignment horizontal="right" vertical="center"/>
      <protection locked="0"/>
    </xf>
    <xf numFmtId="3" fontId="31" fillId="0" borderId="737" xfId="6" applyNumberFormat="1" applyFont="1" applyFill="1" applyBorder="1" applyAlignment="1" applyProtection="1">
      <alignment horizontal="right" vertical="center"/>
      <protection locked="0"/>
    </xf>
    <xf numFmtId="3" fontId="5" fillId="0" borderId="737" xfId="6" applyNumberFormat="1" applyFont="1" applyFill="1" applyBorder="1" applyAlignment="1" applyProtection="1">
      <alignment horizontal="right" vertical="center"/>
      <protection locked="0"/>
    </xf>
    <xf numFmtId="4" fontId="5" fillId="0" borderId="737" xfId="6" applyNumberFormat="1" applyFont="1" applyFill="1" applyBorder="1" applyAlignment="1" applyProtection="1">
      <alignment horizontal="right" vertical="center"/>
      <protection locked="0"/>
    </xf>
    <xf numFmtId="10" fontId="5" fillId="0" borderId="738" xfId="1" applyNumberFormat="1" applyFont="1" applyFill="1" applyBorder="1" applyAlignment="1" applyProtection="1">
      <alignment horizontal="right" vertical="center"/>
      <protection locked="0"/>
    </xf>
    <xf numFmtId="3" fontId="32" fillId="0" borderId="737" xfId="6" applyNumberFormat="1" applyFont="1" applyFill="1" applyBorder="1" applyAlignment="1" applyProtection="1">
      <alignment horizontal="right" vertical="center"/>
      <protection locked="0"/>
    </xf>
    <xf numFmtId="3" fontId="13" fillId="0" borderId="737" xfId="6" applyNumberFormat="1" applyFont="1" applyFill="1" applyBorder="1" applyAlignment="1" applyProtection="1">
      <alignment horizontal="right" vertical="center"/>
      <protection locked="0"/>
    </xf>
    <xf numFmtId="4" fontId="13" fillId="0" borderId="737" xfId="6" applyNumberFormat="1" applyFont="1" applyFill="1" applyBorder="1" applyAlignment="1" applyProtection="1">
      <alignment horizontal="right" vertical="center"/>
      <protection locked="0"/>
    </xf>
    <xf numFmtId="49" fontId="31" fillId="17" borderId="73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40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732" xfId="6" applyNumberFormat="1" applyFont="1" applyFill="1" applyBorder="1" applyAlignment="1" applyProtection="1">
      <alignment vertical="center" wrapText="1"/>
      <protection locked="0"/>
    </xf>
    <xf numFmtId="3" fontId="32" fillId="0" borderId="730" xfId="6" applyNumberFormat="1" applyFont="1" applyFill="1" applyBorder="1" applyAlignment="1" applyProtection="1">
      <alignment horizontal="right" vertical="center"/>
      <protection locked="0"/>
    </xf>
    <xf numFmtId="3" fontId="13" fillId="0" borderId="730" xfId="6" applyNumberFormat="1" applyFont="1" applyFill="1" applyBorder="1" applyAlignment="1" applyProtection="1">
      <alignment horizontal="right" vertical="center"/>
      <protection locked="0"/>
    </xf>
    <xf numFmtId="4" fontId="13" fillId="0" borderId="730" xfId="6" applyNumberFormat="1" applyFont="1" applyFill="1" applyBorder="1" applyAlignment="1" applyProtection="1">
      <alignment horizontal="right" vertical="center"/>
      <protection locked="0"/>
    </xf>
    <xf numFmtId="3" fontId="31" fillId="0" borderId="741" xfId="6" applyNumberFormat="1" applyFont="1" applyFill="1" applyBorder="1" applyAlignment="1" applyProtection="1">
      <alignment horizontal="right" vertical="center"/>
      <protection locked="0"/>
    </xf>
    <xf numFmtId="3" fontId="5" fillId="0" borderId="741" xfId="6" applyNumberFormat="1" applyFont="1" applyFill="1" applyBorder="1" applyAlignment="1" applyProtection="1">
      <alignment horizontal="right" vertical="center"/>
      <protection locked="0"/>
    </xf>
    <xf numFmtId="4" fontId="5" fillId="0" borderId="741" xfId="6" applyNumberFormat="1" applyFont="1" applyFill="1" applyBorder="1" applyAlignment="1" applyProtection="1">
      <alignment horizontal="right" vertical="center"/>
      <protection locked="0"/>
    </xf>
    <xf numFmtId="10" fontId="5" fillId="0" borderId="742" xfId="1" applyNumberFormat="1" applyFont="1" applyFill="1" applyBorder="1" applyAlignment="1" applyProtection="1">
      <alignment horizontal="right" vertical="center"/>
      <protection locked="0"/>
    </xf>
    <xf numFmtId="49" fontId="31" fillId="17" borderId="74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44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93" xfId="7" applyNumberFormat="1" applyFont="1" applyBorder="1" applyAlignment="1">
      <alignment vertical="center"/>
    </xf>
    <xf numFmtId="4" fontId="5" fillId="0" borderId="693" xfId="7" applyNumberFormat="1" applyFont="1" applyBorder="1" applyAlignment="1">
      <alignment vertical="center"/>
    </xf>
    <xf numFmtId="49" fontId="31" fillId="17" borderId="74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46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62" xfId="6" applyNumberFormat="1" applyFont="1" applyFill="1" applyBorder="1" applyAlignment="1" applyProtection="1">
      <alignment horizontal="right" vertical="center"/>
      <protection locked="0"/>
    </xf>
    <xf numFmtId="49" fontId="31" fillId="17" borderId="71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47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48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749" xfId="6" applyNumberFormat="1" applyFont="1" applyFill="1" applyBorder="1" applyAlignment="1" applyProtection="1">
      <alignment vertical="center" wrapText="1"/>
      <protection locked="0"/>
    </xf>
    <xf numFmtId="49" fontId="31" fillId="0" borderId="713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1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50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597" xfId="7" applyNumberFormat="1" applyFont="1" applyBorder="1" applyAlignment="1">
      <alignment vertical="center"/>
    </xf>
    <xf numFmtId="4" fontId="5" fillId="0" borderId="597" xfId="7" applyNumberFormat="1" applyFont="1" applyBorder="1" applyAlignment="1">
      <alignment vertical="center"/>
    </xf>
    <xf numFmtId="49" fontId="31" fillId="0" borderId="752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5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5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8" xfId="7" applyNumberFormat="1" applyFont="1" applyBorder="1" applyAlignment="1">
      <alignment vertical="center"/>
    </xf>
    <xf numFmtId="4" fontId="5" fillId="0" borderId="118" xfId="7" applyNumberFormat="1" applyFont="1" applyBorder="1" applyAlignment="1">
      <alignment vertical="center"/>
    </xf>
    <xf numFmtId="49" fontId="5" fillId="17" borderId="743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5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5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56" xfId="7" applyNumberFormat="1" applyFont="1" applyBorder="1" applyAlignment="1">
      <alignment vertical="center"/>
    </xf>
    <xf numFmtId="4" fontId="5" fillId="0" borderId="756" xfId="7" applyNumberFormat="1" applyFont="1" applyBorder="1" applyAlignment="1">
      <alignment vertical="center"/>
    </xf>
    <xf numFmtId="10" fontId="5" fillId="0" borderId="757" xfId="1" applyNumberFormat="1" applyFont="1" applyFill="1" applyBorder="1" applyAlignment="1" applyProtection="1">
      <alignment horizontal="right" vertical="center"/>
      <protection locked="0"/>
    </xf>
    <xf numFmtId="49" fontId="31" fillId="17" borderId="75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5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60" xfId="7" applyNumberFormat="1" applyFont="1" applyBorder="1" applyAlignment="1">
      <alignment vertical="center"/>
    </xf>
    <xf numFmtId="4" fontId="5" fillId="0" borderId="760" xfId="7" applyNumberFormat="1" applyFont="1" applyBorder="1" applyAlignment="1">
      <alignment vertical="center"/>
    </xf>
    <xf numFmtId="49" fontId="31" fillId="17" borderId="76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6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6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6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6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6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67" xfId="7" applyNumberFormat="1" applyFont="1" applyBorder="1" applyAlignment="1">
      <alignment vertical="center"/>
    </xf>
    <xf numFmtId="4" fontId="5" fillId="0" borderId="767" xfId="7" applyNumberFormat="1" applyFont="1" applyBorder="1" applyAlignment="1">
      <alignment vertical="center"/>
    </xf>
    <xf numFmtId="49" fontId="31" fillId="17" borderId="768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161" xfId="6" applyNumberFormat="1" applyFont="1" applyFill="1" applyBorder="1" applyAlignment="1" applyProtection="1">
      <alignment vertical="center" wrapText="1"/>
      <protection locked="0"/>
    </xf>
    <xf numFmtId="3" fontId="8" fillId="0" borderId="760" xfId="6" applyNumberFormat="1" applyFont="1" applyFill="1" applyBorder="1" applyAlignment="1" applyProtection="1">
      <alignment horizontal="right" vertical="center"/>
      <protection locked="0"/>
    </xf>
    <xf numFmtId="4" fontId="8" fillId="0" borderId="760" xfId="6" applyNumberFormat="1" applyFont="1" applyFill="1" applyBorder="1" applyAlignment="1" applyProtection="1">
      <alignment horizontal="right" vertical="center"/>
      <protection locked="0"/>
    </xf>
    <xf numFmtId="3" fontId="31" fillId="0" borderId="760" xfId="6" applyNumberFormat="1" applyFont="1" applyFill="1" applyBorder="1" applyAlignment="1" applyProtection="1">
      <alignment horizontal="right" vertical="center"/>
      <protection locked="0"/>
    </xf>
    <xf numFmtId="3" fontId="5" fillId="0" borderId="760" xfId="6" applyNumberFormat="1" applyFont="1" applyFill="1" applyBorder="1" applyAlignment="1" applyProtection="1">
      <alignment horizontal="right" vertical="center"/>
      <protection locked="0"/>
    </xf>
    <xf numFmtId="4" fontId="5" fillId="0" borderId="760" xfId="6" applyNumberFormat="1" applyFont="1" applyFill="1" applyBorder="1" applyAlignment="1" applyProtection="1">
      <alignment horizontal="right" vertical="center"/>
      <protection locked="0"/>
    </xf>
    <xf numFmtId="49" fontId="31" fillId="0" borderId="723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770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760" xfId="6" applyNumberFormat="1" applyFont="1" applyFill="1" applyBorder="1" applyAlignment="1" applyProtection="1">
      <alignment horizontal="right" vertical="center"/>
      <protection locked="0"/>
    </xf>
    <xf numFmtId="4" fontId="16" fillId="0" borderId="760" xfId="6" applyNumberFormat="1" applyFont="1" applyFill="1" applyBorder="1" applyAlignment="1" applyProtection="1">
      <alignment horizontal="right" vertical="center"/>
      <protection locked="0"/>
    </xf>
    <xf numFmtId="3" fontId="5" fillId="6" borderId="760" xfId="6" applyNumberFormat="1" applyFont="1" applyFill="1" applyBorder="1" applyAlignment="1" applyProtection="1">
      <alignment horizontal="right" vertical="center"/>
      <protection locked="0"/>
    </xf>
    <xf numFmtId="4" fontId="5" fillId="6" borderId="760" xfId="6" applyNumberFormat="1" applyFont="1" applyFill="1" applyBorder="1" applyAlignment="1" applyProtection="1">
      <alignment horizontal="right" vertical="center"/>
      <protection locked="0"/>
    </xf>
    <xf numFmtId="49" fontId="31" fillId="17" borderId="769" xfId="6" applyNumberFormat="1" applyFont="1" applyFill="1" applyBorder="1" applyAlignment="1" applyProtection="1">
      <alignment horizontal="center" vertical="center" wrapText="1"/>
      <protection locked="0"/>
    </xf>
    <xf numFmtId="0" fontId="31" fillId="0" borderId="759" xfId="0" applyFont="1" applyBorder="1" applyAlignment="1">
      <alignment horizontal="left" vertical="center" wrapText="1"/>
    </xf>
    <xf numFmtId="4" fontId="35" fillId="0" borderId="693" xfId="6" applyNumberFormat="1" applyFont="1" applyFill="1" applyBorder="1" applyAlignment="1" applyProtection="1">
      <alignment horizontal="right" vertical="center"/>
      <protection locked="0"/>
    </xf>
    <xf numFmtId="4" fontId="31" fillId="0" borderId="760" xfId="6" applyNumberFormat="1" applyFont="1" applyFill="1" applyBorder="1" applyAlignment="1" applyProtection="1">
      <alignment horizontal="right" vertical="center"/>
      <protection locked="0"/>
    </xf>
    <xf numFmtId="3" fontId="32" fillId="0" borderId="760" xfId="6" applyNumberFormat="1" applyFont="1" applyFill="1" applyBorder="1" applyAlignment="1" applyProtection="1">
      <alignment horizontal="right" vertical="center"/>
      <protection locked="0"/>
    </xf>
    <xf numFmtId="4" fontId="32" fillId="0" borderId="760" xfId="6" applyNumberFormat="1" applyFont="1" applyFill="1" applyBorder="1" applyAlignment="1" applyProtection="1">
      <alignment horizontal="right" vertical="center"/>
      <protection locked="0"/>
    </xf>
    <xf numFmtId="49" fontId="31" fillId="17" borderId="8" xfId="6" applyNumberFormat="1" applyFont="1" applyFill="1" applyBorder="1" applyAlignment="1" applyProtection="1">
      <alignment vertical="center" wrapText="1"/>
      <protection locked="0"/>
    </xf>
    <xf numFmtId="49" fontId="31" fillId="17" borderId="1" xfId="6" applyNumberFormat="1" applyFont="1" applyFill="1" applyBorder="1" applyAlignment="1" applyProtection="1">
      <alignment vertical="center" wrapText="1"/>
      <protection locked="0"/>
    </xf>
    <xf numFmtId="10" fontId="8" fillId="0" borderId="771" xfId="1" applyNumberFormat="1" applyFont="1" applyFill="1" applyBorder="1" applyAlignment="1" applyProtection="1">
      <alignment horizontal="right" vertical="center"/>
      <protection locked="0"/>
    </xf>
    <xf numFmtId="10" fontId="5" fillId="0" borderId="771" xfId="1" applyNumberFormat="1" applyFont="1" applyFill="1" applyBorder="1" applyAlignment="1" applyProtection="1">
      <alignment horizontal="right" vertical="center"/>
      <protection locked="0"/>
    </xf>
    <xf numFmtId="0" fontId="1" fillId="0" borderId="168" xfId="0" applyFont="1" applyBorder="1" applyAlignment="1">
      <alignment vertical="center"/>
    </xf>
    <xf numFmtId="10" fontId="16" fillId="0" borderId="771" xfId="1" applyNumberFormat="1" applyFont="1" applyFill="1" applyBorder="1" applyAlignment="1" applyProtection="1">
      <alignment horizontal="right" vertical="center"/>
      <protection locked="0"/>
    </xf>
    <xf numFmtId="3" fontId="13" fillId="0" borderId="773" xfId="6" applyNumberFormat="1" applyFont="1" applyFill="1" applyBorder="1" applyAlignment="1" applyProtection="1">
      <alignment horizontal="right" vertical="center"/>
      <protection locked="0"/>
    </xf>
    <xf numFmtId="4" fontId="13" fillId="0" borderId="773" xfId="6" applyNumberFormat="1" applyFont="1" applyFill="1" applyBorder="1" applyAlignment="1" applyProtection="1">
      <alignment horizontal="right" vertical="center"/>
      <protection locked="0"/>
    </xf>
    <xf numFmtId="10" fontId="5" fillId="0" borderId="774" xfId="1" applyNumberFormat="1" applyFont="1" applyFill="1" applyBorder="1" applyAlignment="1" applyProtection="1">
      <alignment horizontal="right" vertical="center"/>
      <protection locked="0"/>
    </xf>
    <xf numFmtId="3" fontId="35" fillId="0" borderId="776" xfId="6" applyNumberFormat="1" applyFont="1" applyFill="1" applyBorder="1" applyAlignment="1" applyProtection="1">
      <alignment horizontal="right" vertical="center"/>
      <protection locked="0"/>
    </xf>
    <xf numFmtId="4" fontId="35" fillId="0" borderId="776" xfId="6" applyNumberFormat="1" applyFont="1" applyFill="1" applyBorder="1" applyAlignment="1" applyProtection="1">
      <alignment horizontal="right" vertical="center"/>
      <protection locked="0"/>
    </xf>
    <xf numFmtId="10" fontId="35" fillId="0" borderId="777" xfId="1" applyNumberFormat="1" applyFont="1" applyFill="1" applyBorder="1" applyAlignment="1" applyProtection="1">
      <alignment horizontal="right" vertical="center"/>
      <protection locked="0"/>
    </xf>
    <xf numFmtId="10" fontId="31" fillId="0" borderId="777" xfId="1" applyNumberFormat="1" applyFont="1" applyFill="1" applyBorder="1" applyAlignment="1" applyProtection="1">
      <alignment horizontal="right" vertical="center"/>
      <protection locked="0"/>
    </xf>
    <xf numFmtId="3" fontId="32" fillId="0" borderId="162" xfId="6" applyNumberFormat="1" applyFont="1" applyFill="1" applyBorder="1" applyAlignment="1" applyProtection="1">
      <alignment horizontal="right" vertical="center"/>
      <protection locked="0"/>
    </xf>
    <xf numFmtId="4" fontId="32" fillId="0" borderId="162" xfId="6" applyNumberFormat="1" applyFont="1" applyFill="1" applyBorder="1" applyAlignment="1" applyProtection="1">
      <alignment horizontal="right" vertical="center"/>
      <protection locked="0"/>
    </xf>
    <xf numFmtId="10" fontId="31" fillId="0" borderId="757" xfId="1" applyNumberFormat="1" applyFont="1" applyFill="1" applyBorder="1" applyAlignment="1" applyProtection="1">
      <alignment horizontal="right" vertical="center"/>
      <protection locked="0"/>
    </xf>
    <xf numFmtId="49" fontId="31" fillId="17" borderId="68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80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781" xfId="6" applyNumberFormat="1" applyFont="1" applyFill="1" applyBorder="1" applyAlignment="1" applyProtection="1">
      <alignment horizontal="right" vertical="center"/>
      <protection locked="0"/>
    </xf>
    <xf numFmtId="4" fontId="31" fillId="0" borderId="781" xfId="6" applyNumberFormat="1" applyFont="1" applyFill="1" applyBorder="1" applyAlignment="1" applyProtection="1">
      <alignment horizontal="right" vertical="center"/>
      <protection locked="0"/>
    </xf>
    <xf numFmtId="3" fontId="32" fillId="0" borderId="781" xfId="6" applyNumberFormat="1" applyFont="1" applyFill="1" applyBorder="1" applyAlignment="1" applyProtection="1">
      <alignment horizontal="right" vertical="center"/>
      <protection locked="0"/>
    </xf>
    <xf numFmtId="4" fontId="32" fillId="0" borderId="781" xfId="6" applyNumberFormat="1" applyFont="1" applyFill="1" applyBorder="1" applyAlignment="1" applyProtection="1">
      <alignment horizontal="right" vertical="center"/>
      <protection locked="0"/>
    </xf>
    <xf numFmtId="49" fontId="31" fillId="17" borderId="78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8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84" xfId="6" applyNumberFormat="1" applyFont="1" applyFill="1" applyBorder="1" applyAlignment="1" applyProtection="1">
      <alignment vertical="center" wrapText="1"/>
      <protection locked="0"/>
    </xf>
    <xf numFmtId="4" fontId="32" fillId="0" borderId="693" xfId="6" applyNumberFormat="1" applyFont="1" applyFill="1" applyBorder="1" applyAlignment="1" applyProtection="1">
      <alignment horizontal="right" vertical="center"/>
      <protection locked="0"/>
    </xf>
    <xf numFmtId="49" fontId="31" fillId="0" borderId="78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86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83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21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8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8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82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89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9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91" xfId="6" applyNumberFormat="1" applyFont="1" applyFill="1" applyBorder="1" applyAlignment="1" applyProtection="1">
      <alignment vertical="center" wrapText="1"/>
      <protection locked="0"/>
    </xf>
    <xf numFmtId="4" fontId="31" fillId="0" borderId="693" xfId="6" applyNumberFormat="1" applyFont="1" applyFill="1" applyBorder="1" applyAlignment="1" applyProtection="1">
      <alignment horizontal="right" vertical="center"/>
      <protection locked="0"/>
    </xf>
    <xf numFmtId="49" fontId="31" fillId="0" borderId="79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9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77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781" xfId="6" applyNumberFormat="1" applyFont="1" applyFill="1" applyBorder="1" applyAlignment="1" applyProtection="1">
      <alignment horizontal="right" vertical="center"/>
      <protection locked="0"/>
    </xf>
    <xf numFmtId="49" fontId="31" fillId="17" borderId="79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9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0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79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0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0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" xfId="6" applyNumberFormat="1" applyFont="1" applyFill="1" applyBorder="1" applyAlignment="1" applyProtection="1">
      <alignment vertical="center" wrapText="1"/>
      <protection locked="0"/>
    </xf>
    <xf numFmtId="49" fontId="31" fillId="17" borderId="673" xfId="6" applyNumberFormat="1" applyFont="1" applyFill="1" applyBorder="1" applyAlignment="1" applyProtection="1">
      <alignment horizontal="left" vertical="center" wrapText="1"/>
      <protection locked="0"/>
    </xf>
    <xf numFmtId="4" fontId="31" fillId="0" borderId="162" xfId="6" applyNumberFormat="1" applyFont="1" applyFill="1" applyBorder="1" applyAlignment="1" applyProtection="1">
      <alignment horizontal="right" vertical="center"/>
      <protection locked="0"/>
    </xf>
    <xf numFmtId="10" fontId="31" fillId="0" borderId="165" xfId="1" applyNumberFormat="1" applyFont="1" applyFill="1" applyBorder="1" applyAlignment="1" applyProtection="1">
      <alignment horizontal="right" vertical="center"/>
      <protection locked="0"/>
    </xf>
    <xf numFmtId="49" fontId="31" fillId="17" borderId="803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80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04" xfId="6" applyNumberFormat="1" applyFont="1" applyFill="1" applyBorder="1" applyAlignment="1" applyProtection="1">
      <alignment vertical="center" wrapText="1"/>
      <protection locked="0"/>
    </xf>
    <xf numFmtId="49" fontId="31" fillId="17" borderId="803" xfId="6" applyNumberFormat="1" applyFont="1" applyFill="1" applyBorder="1" applyAlignment="1" applyProtection="1">
      <alignment vertical="center" wrapText="1"/>
      <protection locked="0"/>
    </xf>
    <xf numFmtId="3" fontId="35" fillId="0" borderId="781" xfId="6" applyNumberFormat="1" applyFont="1" applyFill="1" applyBorder="1" applyAlignment="1" applyProtection="1">
      <alignment vertical="center"/>
      <protection locked="0"/>
    </xf>
    <xf numFmtId="4" fontId="35" fillId="0" borderId="781" xfId="6" applyNumberFormat="1" applyFont="1" applyFill="1" applyBorder="1" applyAlignment="1" applyProtection="1">
      <alignment vertical="center"/>
      <protection locked="0"/>
    </xf>
    <xf numFmtId="3" fontId="31" fillId="0" borderId="781" xfId="6" applyNumberFormat="1" applyFont="1" applyFill="1" applyBorder="1" applyAlignment="1" applyProtection="1">
      <alignment vertical="center"/>
      <protection locked="0"/>
    </xf>
    <xf numFmtId="4" fontId="31" fillId="0" borderId="781" xfId="6" applyNumberFormat="1" applyFont="1" applyFill="1" applyBorder="1" applyAlignment="1" applyProtection="1">
      <alignment vertical="center"/>
      <protection locked="0"/>
    </xf>
    <xf numFmtId="49" fontId="31" fillId="17" borderId="806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454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162" xfId="6" applyNumberFormat="1" applyFont="1" applyFill="1" applyBorder="1" applyAlignment="1" applyProtection="1">
      <alignment vertical="center"/>
      <protection locked="0"/>
    </xf>
    <xf numFmtId="49" fontId="12" fillId="10" borderId="248" xfId="6" applyNumberFormat="1" applyFont="1" applyFill="1" applyBorder="1" applyAlignment="1" applyProtection="1">
      <alignment horizontal="center" vertical="center" wrapText="1"/>
      <protection locked="0"/>
    </xf>
    <xf numFmtId="49" fontId="12" fillId="10" borderId="249" xfId="6" applyNumberFormat="1" applyFont="1" applyFill="1" applyBorder="1" applyAlignment="1" applyProtection="1">
      <alignment horizontal="left" vertical="center" wrapText="1"/>
      <protection locked="0"/>
    </xf>
    <xf numFmtId="3" fontId="8" fillId="0" borderId="162" xfId="6" applyNumberFormat="1" applyFont="1" applyFill="1" applyBorder="1" applyAlignment="1" applyProtection="1">
      <alignment vertical="center"/>
      <protection locked="0"/>
    </xf>
    <xf numFmtId="4" fontId="8" fillId="0" borderId="162" xfId="6" applyNumberFormat="1" applyFont="1" applyFill="1" applyBorder="1" applyAlignment="1" applyProtection="1">
      <alignment vertical="center"/>
      <protection locked="0"/>
    </xf>
    <xf numFmtId="49" fontId="5" fillId="17" borderId="79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79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81" xfId="6" applyNumberFormat="1" applyFont="1" applyFill="1" applyBorder="1" applyAlignment="1" applyProtection="1">
      <alignment horizontal="right" vertical="center"/>
      <protection locked="0"/>
    </xf>
    <xf numFmtId="4" fontId="5" fillId="0" borderId="781" xfId="6" applyNumberFormat="1" applyFont="1" applyFill="1" applyBorder="1" applyAlignment="1" applyProtection="1">
      <alignment horizontal="right" vertical="center"/>
      <protection locked="0"/>
    </xf>
    <xf numFmtId="49" fontId="31" fillId="17" borderId="80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09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810" xfId="6" applyNumberFormat="1" applyFont="1" applyFill="1" applyBorder="1" applyAlignment="1" applyProtection="1">
      <alignment horizontal="right" vertical="center"/>
      <protection locked="0"/>
    </xf>
    <xf numFmtId="4" fontId="31" fillId="0" borderId="810" xfId="6" applyNumberFormat="1" applyFont="1" applyFill="1" applyBorder="1" applyAlignment="1" applyProtection="1">
      <alignment horizontal="right" vertical="center"/>
      <protection locked="0"/>
    </xf>
    <xf numFmtId="10" fontId="31" fillId="0" borderId="811" xfId="1" applyNumberFormat="1" applyFont="1" applyFill="1" applyBorder="1" applyAlignment="1" applyProtection="1">
      <alignment horizontal="right" vertical="center"/>
      <protection locked="0"/>
    </xf>
    <xf numFmtId="10" fontId="35" fillId="0" borderId="811" xfId="1" applyNumberFormat="1" applyFont="1" applyFill="1" applyBorder="1" applyAlignment="1" applyProtection="1">
      <alignment horizontal="right" vertical="center"/>
      <protection locked="0"/>
    </xf>
    <xf numFmtId="0" fontId="84" fillId="0" borderId="7" xfId="0" applyFont="1" applyBorder="1" applyAlignment="1">
      <alignment vertical="center" wrapText="1"/>
    </xf>
    <xf numFmtId="49" fontId="5" fillId="0" borderId="813" xfId="6" applyNumberFormat="1" applyFont="1" applyFill="1" applyBorder="1" applyAlignment="1" applyProtection="1">
      <alignment horizontal="center" vertical="center" wrapText="1"/>
      <protection locked="0"/>
    </xf>
    <xf numFmtId="10" fontId="5" fillId="0" borderId="812" xfId="1" applyNumberFormat="1" applyFont="1" applyFill="1" applyBorder="1" applyAlignment="1" applyProtection="1">
      <alignment horizontal="right" vertical="center"/>
      <protection locked="0"/>
    </xf>
    <xf numFmtId="49" fontId="5" fillId="17" borderId="80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79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1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15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781" xfId="7" applyNumberFormat="1" applyFont="1" applyBorder="1" applyAlignment="1">
      <alignment vertical="center" wrapText="1"/>
    </xf>
    <xf numFmtId="4" fontId="5" fillId="0" borderId="781" xfId="7" applyNumberFormat="1" applyFont="1" applyBorder="1" applyAlignment="1">
      <alignment vertical="center" wrapText="1"/>
    </xf>
    <xf numFmtId="49" fontId="5" fillId="17" borderId="199" xfId="6" applyNumberFormat="1" applyFont="1" applyFill="1" applyBorder="1" applyAlignment="1" applyProtection="1">
      <alignment horizontal="center" vertical="center" wrapText="1"/>
      <protection locked="0"/>
    </xf>
    <xf numFmtId="0" fontId="84" fillId="0" borderId="199" xfId="0" applyFont="1" applyBorder="1" applyAlignment="1">
      <alignment vertical="center" wrapText="1"/>
    </xf>
    <xf numFmtId="49" fontId="5" fillId="17" borderId="817" xfId="6" applyNumberFormat="1" applyFont="1" applyFill="1" applyBorder="1" applyAlignment="1" applyProtection="1">
      <alignment vertical="center" wrapText="1"/>
      <protection locked="0"/>
    </xf>
    <xf numFmtId="49" fontId="5" fillId="17" borderId="757" xfId="6" applyNumberFormat="1" applyFont="1" applyFill="1" applyBorder="1" applyAlignment="1" applyProtection="1">
      <alignment vertical="center" wrapText="1"/>
      <protection locked="0"/>
    </xf>
    <xf numFmtId="10" fontId="16" fillId="0" borderId="757" xfId="1" applyNumberFormat="1" applyFont="1" applyFill="1" applyBorder="1" applyAlignment="1" applyProtection="1">
      <alignment horizontal="right" vertical="center"/>
      <protection locked="0"/>
    </xf>
    <xf numFmtId="10" fontId="16" fillId="0" borderId="812" xfId="1" applyNumberFormat="1" applyFont="1" applyFill="1" applyBorder="1" applyAlignment="1" applyProtection="1">
      <alignment horizontal="right" vertical="center"/>
      <protection locked="0"/>
    </xf>
    <xf numFmtId="10" fontId="5" fillId="0" borderId="818" xfId="1" applyNumberFormat="1" applyFont="1" applyFill="1" applyBorder="1" applyAlignment="1" applyProtection="1">
      <alignment horizontal="right" vertical="center"/>
      <protection locked="0"/>
    </xf>
    <xf numFmtId="2" fontId="5" fillId="0" borderId="819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8" xfId="0" applyFont="1" applyBorder="1" applyAlignment="1">
      <alignment vertical="center" wrapText="1"/>
    </xf>
    <xf numFmtId="49" fontId="5" fillId="0" borderId="705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118" xfId="7" applyNumberFormat="1" applyFont="1" applyBorder="1" applyAlignment="1">
      <alignment vertical="center" wrapText="1"/>
    </xf>
    <xf numFmtId="4" fontId="5" fillId="0" borderId="118" xfId="7" applyNumberFormat="1" applyFont="1" applyBorder="1" applyAlignment="1">
      <alignment vertical="center" wrapText="1"/>
    </xf>
    <xf numFmtId="49" fontId="5" fillId="17" borderId="82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2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659" xfId="6" applyNumberFormat="1" applyFont="1" applyFill="1" applyBorder="1" applyAlignment="1" applyProtection="1">
      <alignment horizontal="right" vertical="center"/>
      <protection locked="0"/>
    </xf>
    <xf numFmtId="4" fontId="5" fillId="0" borderId="659" xfId="6" applyNumberFormat="1" applyFont="1" applyFill="1" applyBorder="1" applyAlignment="1" applyProtection="1">
      <alignment horizontal="right" vertical="center"/>
      <protection locked="0"/>
    </xf>
    <xf numFmtId="49" fontId="5" fillId="0" borderId="822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75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756" xfId="7" applyNumberFormat="1" applyFont="1" applyBorder="1" applyAlignment="1">
      <alignment vertical="center" wrapText="1"/>
    </xf>
    <xf numFmtId="4" fontId="5" fillId="0" borderId="756" xfId="7" applyNumberFormat="1" applyFont="1" applyBorder="1" applyAlignment="1">
      <alignment vertical="center" wrapText="1"/>
    </xf>
    <xf numFmtId="3" fontId="5" fillId="0" borderId="400" xfId="7" applyNumberFormat="1" applyFont="1" applyBorder="1" applyAlignment="1">
      <alignment vertical="center" wrapText="1"/>
    </xf>
    <xf numFmtId="4" fontId="5" fillId="0" borderId="400" xfId="7" applyNumberFormat="1" applyFont="1" applyBorder="1" applyAlignment="1">
      <alignment vertical="center" wrapText="1"/>
    </xf>
    <xf numFmtId="49" fontId="5" fillId="17" borderId="82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2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2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826" xfId="6" applyNumberFormat="1" applyFont="1" applyFill="1" applyBorder="1" applyAlignment="1" applyProtection="1">
      <alignment horizontal="right" vertical="center"/>
      <protection locked="0"/>
    </xf>
    <xf numFmtId="4" fontId="5" fillId="0" borderId="826" xfId="6" applyNumberFormat="1" applyFont="1" applyFill="1" applyBorder="1" applyAlignment="1" applyProtection="1">
      <alignment horizontal="right" vertical="center"/>
      <protection locked="0"/>
    </xf>
    <xf numFmtId="10" fontId="5" fillId="0" borderId="827" xfId="1" applyNumberFormat="1" applyFont="1" applyFill="1" applyBorder="1" applyAlignment="1" applyProtection="1">
      <alignment horizontal="right" vertical="center"/>
      <protection locked="0"/>
    </xf>
    <xf numFmtId="4" fontId="5" fillId="0" borderId="767" xfId="6" applyNumberFormat="1" applyFont="1" applyFill="1" applyBorder="1" applyAlignment="1" applyProtection="1">
      <alignment horizontal="right" vertical="center"/>
      <protection locked="0"/>
    </xf>
    <xf numFmtId="49" fontId="5" fillId="0" borderId="820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21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79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1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2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2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830" xfId="6" applyNumberFormat="1" applyFont="1" applyFill="1" applyBorder="1" applyAlignment="1" applyProtection="1">
      <alignment horizontal="right" vertical="center"/>
      <protection locked="0"/>
    </xf>
    <xf numFmtId="4" fontId="5" fillId="0" borderId="830" xfId="6" applyNumberFormat="1" applyFont="1" applyFill="1" applyBorder="1" applyAlignment="1" applyProtection="1">
      <alignment horizontal="right" vertical="center"/>
      <protection locked="0"/>
    </xf>
    <xf numFmtId="49" fontId="5" fillId="0" borderId="83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3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3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7" xfId="6" applyNumberFormat="1" applyFont="1" applyFill="1" applyBorder="1" applyAlignment="1" applyProtection="1">
      <alignment vertical="center" wrapText="1"/>
      <protection locked="0"/>
    </xf>
    <xf numFmtId="49" fontId="5" fillId="17" borderId="1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833" xfId="6" applyNumberFormat="1" applyFont="1" applyFill="1" applyBorder="1" applyAlignment="1" applyProtection="1">
      <alignment horizontal="right" vertical="center"/>
      <protection locked="0"/>
    </xf>
    <xf numFmtId="3" fontId="16" fillId="0" borderId="833" xfId="6" applyNumberFormat="1" applyFont="1" applyFill="1" applyBorder="1" applyAlignment="1" applyProtection="1">
      <alignment horizontal="right" vertical="center"/>
      <protection locked="0"/>
    </xf>
    <xf numFmtId="4" fontId="16" fillId="0" borderId="833" xfId="6" applyNumberFormat="1" applyFont="1" applyFill="1" applyBorder="1" applyAlignment="1" applyProtection="1">
      <alignment horizontal="right" vertical="center"/>
      <protection locked="0"/>
    </xf>
    <xf numFmtId="49" fontId="5" fillId="0" borderId="81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99" xfId="6" applyNumberFormat="1" applyFont="1" applyFill="1" applyBorder="1" applyAlignment="1" applyProtection="1">
      <alignment vertical="center" wrapText="1"/>
      <protection locked="0"/>
    </xf>
    <xf numFmtId="3" fontId="8" fillId="0" borderId="826" xfId="6" applyNumberFormat="1" applyFont="1" applyFill="1" applyBorder="1" applyAlignment="1" applyProtection="1">
      <alignment vertical="center"/>
      <protection locked="0"/>
    </xf>
    <xf numFmtId="4" fontId="8" fillId="0" borderId="826" xfId="6" applyNumberFormat="1" applyFont="1" applyFill="1" applyBorder="1" applyAlignment="1" applyProtection="1">
      <alignment vertical="center"/>
      <protection locked="0"/>
    </xf>
    <xf numFmtId="10" fontId="8" fillId="0" borderId="827" xfId="1" applyNumberFormat="1" applyFont="1" applyFill="1" applyBorder="1" applyAlignment="1" applyProtection="1">
      <alignment horizontal="right" vertical="center"/>
      <protection locked="0"/>
    </xf>
    <xf numFmtId="3" fontId="5" fillId="0" borderId="830" xfId="6" applyNumberFormat="1" applyFont="1" applyFill="1" applyBorder="1" applyAlignment="1" applyProtection="1">
      <alignment vertical="center"/>
      <protection locked="0"/>
    </xf>
    <xf numFmtId="4" fontId="5" fillId="0" borderId="830" xfId="6" applyNumberFormat="1" applyFont="1" applyFill="1" applyBorder="1" applyAlignment="1" applyProtection="1">
      <alignment vertical="center"/>
      <protection locked="0"/>
    </xf>
    <xf numFmtId="49" fontId="5" fillId="17" borderId="83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3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3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3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3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3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76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01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721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84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0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41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199" xfId="0" applyFont="1" applyBorder="1" applyAlignment="1">
      <alignment horizontal="center" vertical="center" wrapText="1"/>
    </xf>
    <xf numFmtId="49" fontId="5" fillId="0" borderId="83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4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845" xfId="6" applyNumberFormat="1" applyFont="1" applyFill="1" applyBorder="1" applyAlignment="1" applyProtection="1">
      <alignment horizontal="right" vertical="center"/>
      <protection locked="0"/>
    </xf>
    <xf numFmtId="3" fontId="16" fillId="0" borderId="845" xfId="6" applyNumberFormat="1" applyFont="1" applyFill="1" applyBorder="1" applyAlignment="1" applyProtection="1">
      <alignment horizontal="right" vertical="center"/>
      <protection locked="0"/>
    </xf>
    <xf numFmtId="4" fontId="16" fillId="0" borderId="845" xfId="6" applyNumberFormat="1" applyFont="1" applyFill="1" applyBorder="1" applyAlignment="1" applyProtection="1">
      <alignment horizontal="right" vertical="center"/>
      <protection locked="0"/>
    </xf>
    <xf numFmtId="3" fontId="13" fillId="0" borderId="845" xfId="6" applyNumberFormat="1" applyFont="1" applyFill="1" applyBorder="1" applyAlignment="1" applyProtection="1">
      <alignment vertical="center"/>
      <protection locked="0"/>
    </xf>
    <xf numFmtId="4" fontId="13" fillId="0" borderId="845" xfId="6" applyNumberFormat="1" applyFont="1" applyFill="1" applyBorder="1" applyAlignment="1" applyProtection="1">
      <alignment vertical="center"/>
      <protection locked="0"/>
    </xf>
    <xf numFmtId="10" fontId="13" fillId="0" borderId="812" xfId="1" applyNumberFormat="1" applyFont="1" applyFill="1" applyBorder="1" applyAlignment="1" applyProtection="1">
      <alignment horizontal="right" vertical="center"/>
      <protection locked="0"/>
    </xf>
    <xf numFmtId="49" fontId="5" fillId="0" borderId="846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847" xfId="0" applyFont="1" applyBorder="1" applyAlignment="1">
      <alignment horizontal="left" vertical="center" wrapText="1"/>
    </xf>
    <xf numFmtId="4" fontId="5" fillId="0" borderId="845" xfId="6" applyNumberFormat="1" applyFont="1" applyFill="1" applyBorder="1" applyAlignment="1" applyProtection="1">
      <alignment horizontal="right" vertical="center"/>
      <protection locked="0"/>
    </xf>
    <xf numFmtId="49" fontId="5" fillId="17" borderId="84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49" xfId="6" applyNumberFormat="1" applyFont="1" applyFill="1" applyBorder="1" applyAlignment="1" applyProtection="1">
      <alignment horizontal="left" vertical="center" wrapText="1"/>
      <protection locked="0"/>
    </xf>
    <xf numFmtId="0" fontId="5" fillId="0" borderId="832" xfId="0" applyFont="1" applyBorder="1" applyAlignment="1">
      <alignment horizontal="left" vertical="center" wrapText="1"/>
    </xf>
    <xf numFmtId="49" fontId="5" fillId="0" borderId="850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5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5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53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4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5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5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56" xfId="6" applyNumberFormat="1" applyFont="1" applyFill="1" applyBorder="1" applyAlignment="1" applyProtection="1">
      <alignment horizontal="left" vertical="center" wrapText="1"/>
      <protection locked="0"/>
    </xf>
    <xf numFmtId="2" fontId="5" fillId="0" borderId="857" xfId="6" applyNumberFormat="1" applyFont="1" applyFill="1" applyBorder="1" applyAlignment="1" applyProtection="1">
      <alignment horizontal="left" vertical="center" wrapText="1"/>
      <protection locked="0"/>
    </xf>
    <xf numFmtId="0" fontId="37" fillId="0" borderId="7" xfId="0" applyFont="1" applyBorder="1" applyAlignment="1">
      <alignment horizontal="center" vertical="center" wrapText="1"/>
    </xf>
    <xf numFmtId="49" fontId="5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37" fillId="0" borderId="199" xfId="0" applyFont="1" applyBorder="1" applyAlignment="1">
      <alignment horizontal="center" vertical="center" wrapText="1"/>
    </xf>
    <xf numFmtId="49" fontId="5" fillId="0" borderId="85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859" xfId="6" applyNumberFormat="1" applyFont="1" applyFill="1" applyBorder="1" applyAlignment="1" applyProtection="1">
      <alignment horizontal="center" vertical="center" wrapText="1"/>
      <protection locked="0"/>
    </xf>
    <xf numFmtId="3" fontId="8" fillId="2" borderId="199" xfId="6" applyNumberFormat="1" applyFont="1" applyFill="1" applyBorder="1" applyAlignment="1" applyProtection="1">
      <alignment horizontal="right" vertical="center"/>
      <protection locked="0"/>
    </xf>
    <xf numFmtId="4" fontId="8" fillId="2" borderId="199" xfId="6" applyNumberFormat="1" applyFont="1" applyFill="1" applyBorder="1" applyAlignment="1" applyProtection="1">
      <alignment horizontal="right" vertical="center"/>
      <protection locked="0"/>
    </xf>
    <xf numFmtId="3" fontId="12" fillId="6" borderId="826" xfId="6" applyNumberFormat="1" applyFont="1" applyFill="1" applyBorder="1" applyAlignment="1" applyProtection="1">
      <alignment horizontal="right" vertical="center"/>
      <protection locked="0"/>
    </xf>
    <xf numFmtId="4" fontId="12" fillId="6" borderId="826" xfId="6" applyNumberFormat="1" applyFont="1" applyFill="1" applyBorder="1" applyAlignment="1" applyProtection="1">
      <alignment horizontal="right" vertical="center"/>
      <protection locked="0"/>
    </xf>
    <xf numFmtId="10" fontId="8" fillId="0" borderId="650" xfId="1" applyNumberFormat="1" applyFont="1" applyFill="1" applyBorder="1" applyAlignment="1" applyProtection="1">
      <alignment horizontal="right" vertical="center"/>
      <protection locked="0"/>
    </xf>
    <xf numFmtId="3" fontId="5" fillId="6" borderId="401" xfId="6" applyNumberFormat="1" applyFont="1" applyFill="1" applyBorder="1" applyAlignment="1" applyProtection="1">
      <alignment horizontal="right" vertical="center"/>
      <protection locked="0"/>
    </xf>
    <xf numFmtId="4" fontId="5" fillId="6" borderId="401" xfId="6" applyNumberFormat="1" applyFont="1" applyFill="1" applyBorder="1" applyAlignment="1" applyProtection="1">
      <alignment horizontal="right" vertical="center"/>
      <protection locked="0"/>
    </xf>
    <xf numFmtId="49" fontId="31" fillId="21" borderId="851" xfId="6" applyNumberFormat="1" applyFont="1" applyFill="1" applyBorder="1" applyAlignment="1" applyProtection="1">
      <alignment horizontal="center" vertical="center" wrapText="1"/>
      <protection locked="0"/>
    </xf>
    <xf numFmtId="49" fontId="31" fillId="21" borderId="86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6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64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845" xfId="6" applyNumberFormat="1" applyFont="1" applyFill="1" applyBorder="1" applyAlignment="1" applyProtection="1">
      <alignment horizontal="right" vertical="center"/>
      <protection locked="0"/>
    </xf>
    <xf numFmtId="3" fontId="8" fillId="0" borderId="845" xfId="6" applyNumberFormat="1" applyFont="1" applyFill="1" applyBorder="1" applyAlignment="1" applyProtection="1">
      <alignment horizontal="right" vertical="center"/>
      <protection locked="0"/>
    </xf>
    <xf numFmtId="4" fontId="8" fillId="0" borderId="845" xfId="6" applyNumberFormat="1" applyFont="1" applyFill="1" applyBorder="1" applyAlignment="1" applyProtection="1">
      <alignment horizontal="right" vertical="center"/>
      <protection locked="0"/>
    </xf>
    <xf numFmtId="3" fontId="31" fillId="0" borderId="845" xfId="6" applyNumberFormat="1" applyFont="1" applyFill="1" applyBorder="1" applyAlignment="1" applyProtection="1">
      <alignment horizontal="right" vertical="center"/>
      <protection locked="0"/>
    </xf>
    <xf numFmtId="49" fontId="5" fillId="17" borderId="86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6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6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64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9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6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66" xfId="6" applyNumberFormat="1" applyFont="1" applyFill="1" applyBorder="1" applyAlignment="1" applyProtection="1">
      <alignment horizontal="left" vertical="center" wrapText="1"/>
      <protection locked="0"/>
    </xf>
    <xf numFmtId="49" fontId="85" fillId="20" borderId="200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20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869" xfId="6" applyNumberFormat="1" applyFont="1" applyFill="1" applyBorder="1" applyAlignment="1" applyProtection="1">
      <alignment horizontal="right" vertical="center"/>
      <protection locked="0"/>
    </xf>
    <xf numFmtId="3" fontId="5" fillId="0" borderId="869" xfId="6" applyNumberFormat="1" applyFont="1" applyFill="1" applyBorder="1" applyAlignment="1" applyProtection="1">
      <alignment horizontal="right" vertical="center"/>
      <protection locked="0"/>
    </xf>
    <xf numFmtId="4" fontId="5" fillId="0" borderId="869" xfId="6" applyNumberFormat="1" applyFont="1" applyFill="1" applyBorder="1" applyAlignment="1" applyProtection="1">
      <alignment horizontal="right" vertical="center"/>
      <protection locked="0"/>
    </xf>
    <xf numFmtId="3" fontId="32" fillId="0" borderId="869" xfId="6" applyNumberFormat="1" applyFont="1" applyFill="1" applyBorder="1" applyAlignment="1" applyProtection="1">
      <alignment horizontal="right" vertical="center"/>
      <protection locked="0"/>
    </xf>
    <xf numFmtId="3" fontId="13" fillId="0" borderId="869" xfId="6" applyNumberFormat="1" applyFont="1" applyFill="1" applyBorder="1" applyAlignment="1" applyProtection="1">
      <alignment horizontal="right" vertical="center"/>
      <protection locked="0"/>
    </xf>
    <xf numFmtId="4" fontId="13" fillId="0" borderId="869" xfId="6" applyNumberFormat="1" applyFont="1" applyFill="1" applyBorder="1" applyAlignment="1" applyProtection="1">
      <alignment horizontal="right" vertical="center"/>
      <protection locked="0"/>
    </xf>
    <xf numFmtId="49" fontId="31" fillId="0" borderId="8" xfId="6" applyNumberFormat="1" applyFont="1" applyFill="1" applyBorder="1" applyAlignment="1" applyProtection="1">
      <alignment vertical="center" wrapText="1"/>
      <protection locked="0"/>
    </xf>
    <xf numFmtId="49" fontId="31" fillId="0" borderId="859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870" xfId="6" applyNumberFormat="1" applyFont="1" applyFill="1" applyBorder="1" applyAlignment="1" applyProtection="1">
      <alignment horizontal="left" vertical="center" wrapText="1"/>
      <protection locked="0"/>
    </xf>
    <xf numFmtId="3" fontId="35" fillId="2" borderId="199" xfId="6" applyNumberFormat="1" applyFont="1" applyFill="1" applyBorder="1" applyAlignment="1" applyProtection="1">
      <alignment horizontal="right" vertical="center"/>
      <protection locked="0"/>
    </xf>
    <xf numFmtId="4" fontId="35" fillId="2" borderId="199" xfId="6" applyNumberFormat="1" applyFont="1" applyFill="1" applyBorder="1" applyAlignment="1" applyProtection="1">
      <alignment horizontal="right" vertical="center"/>
      <protection locked="0"/>
    </xf>
    <xf numFmtId="49" fontId="12" fillId="20" borderId="454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401" xfId="6" applyNumberFormat="1" applyFont="1" applyFill="1" applyBorder="1" applyAlignment="1" applyProtection="1">
      <alignment horizontal="right" vertical="center"/>
      <protection locked="0"/>
    </xf>
    <xf numFmtId="4" fontId="35" fillId="0" borderId="401" xfId="6" applyNumberFormat="1" applyFont="1" applyFill="1" applyBorder="1" applyAlignment="1" applyProtection="1">
      <alignment horizontal="right" vertical="center"/>
      <protection locked="0"/>
    </xf>
    <xf numFmtId="10" fontId="35" fillId="0" borderId="650" xfId="1" applyNumberFormat="1" applyFont="1" applyFill="1" applyBorder="1" applyAlignment="1" applyProtection="1">
      <alignment horizontal="right" vertical="center"/>
      <protection locked="0"/>
    </xf>
    <xf numFmtId="3" fontId="5" fillId="0" borderId="874" xfId="6" applyNumberFormat="1" applyFont="1" applyFill="1" applyBorder="1" applyAlignment="1" applyProtection="1">
      <alignment horizontal="right" vertical="center"/>
      <protection locked="0"/>
    </xf>
    <xf numFmtId="3" fontId="31" fillId="0" borderId="874" xfId="6" applyNumberFormat="1" applyFont="1" applyFill="1" applyBorder="1" applyAlignment="1" applyProtection="1">
      <alignment horizontal="right" vertical="center"/>
      <protection locked="0"/>
    </xf>
    <xf numFmtId="4" fontId="31" fillId="0" borderId="874" xfId="6" applyNumberFormat="1" applyFont="1" applyFill="1" applyBorder="1" applyAlignment="1" applyProtection="1">
      <alignment horizontal="right" vertical="center"/>
      <protection locked="0"/>
    </xf>
    <xf numFmtId="10" fontId="31" fillId="0" borderId="650" xfId="1" applyNumberFormat="1" applyFont="1" applyFill="1" applyBorder="1" applyAlignment="1" applyProtection="1">
      <alignment horizontal="right" vertical="center"/>
      <protection locked="0"/>
    </xf>
    <xf numFmtId="3" fontId="13" fillId="0" borderId="874" xfId="6" applyNumberFormat="1" applyFont="1" applyFill="1" applyBorder="1" applyAlignment="1" applyProtection="1">
      <alignment horizontal="right" vertical="center"/>
      <protection locked="0"/>
    </xf>
    <xf numFmtId="3" fontId="32" fillId="0" borderId="874" xfId="6" applyNumberFormat="1" applyFont="1" applyFill="1" applyBorder="1" applyAlignment="1" applyProtection="1">
      <alignment horizontal="right" vertical="center"/>
      <protection locked="0"/>
    </xf>
    <xf numFmtId="4" fontId="32" fillId="0" borderId="874" xfId="6" applyNumberFormat="1" applyFont="1" applyFill="1" applyBorder="1" applyAlignment="1" applyProtection="1">
      <alignment horizontal="right" vertical="center"/>
      <protection locked="0"/>
    </xf>
    <xf numFmtId="49" fontId="5" fillId="17" borderId="87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76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77" xfId="6" applyNumberFormat="1" applyFont="1" applyFill="1" applyBorder="1" applyAlignment="1" applyProtection="1">
      <alignment vertical="center" wrapText="1"/>
      <protection locked="0"/>
    </xf>
    <xf numFmtId="0" fontId="84" fillId="0" borderId="878" xfId="0" applyFont="1" applyBorder="1" applyAlignment="1">
      <alignment vertical="center" wrapText="1"/>
    </xf>
    <xf numFmtId="3" fontId="5" fillId="0" borderId="879" xfId="6" applyNumberFormat="1" applyFont="1" applyFill="1" applyBorder="1" applyAlignment="1" applyProtection="1">
      <alignment horizontal="right" vertical="center"/>
      <protection locked="0"/>
    </xf>
    <xf numFmtId="3" fontId="31" fillId="0" borderId="879" xfId="6" applyNumberFormat="1" applyFont="1" applyFill="1" applyBorder="1" applyAlignment="1" applyProtection="1">
      <alignment horizontal="right" vertical="center"/>
      <protection locked="0"/>
    </xf>
    <xf numFmtId="4" fontId="31" fillId="0" borderId="879" xfId="6" applyNumberFormat="1" applyFont="1" applyFill="1" applyBorder="1" applyAlignment="1" applyProtection="1">
      <alignment horizontal="right" vertical="center"/>
      <protection locked="0"/>
    </xf>
    <xf numFmtId="49" fontId="8" fillId="18" borderId="631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55" xfId="6" applyNumberFormat="1" applyFont="1" applyFill="1" applyBorder="1" applyAlignment="1" applyProtection="1">
      <alignment horizontal="left" vertical="center" wrapText="1"/>
      <protection locked="0"/>
    </xf>
    <xf numFmtId="3" fontId="5" fillId="6" borderId="879" xfId="6" applyNumberFormat="1" applyFont="1" applyFill="1" applyBorder="1" applyAlignment="1" applyProtection="1">
      <alignment horizontal="right" vertical="center"/>
      <protection locked="0"/>
    </xf>
    <xf numFmtId="4" fontId="5" fillId="6" borderId="879" xfId="6" applyNumberFormat="1" applyFont="1" applyFill="1" applyBorder="1" applyAlignment="1" applyProtection="1">
      <alignment horizontal="right" vertical="center"/>
      <protection locked="0"/>
    </xf>
    <xf numFmtId="4" fontId="5" fillId="0" borderId="874" xfId="6" applyNumberFormat="1" applyFont="1" applyFill="1" applyBorder="1" applyAlignment="1" applyProtection="1">
      <alignment horizontal="right" vertical="center"/>
      <protection locked="0"/>
    </xf>
    <xf numFmtId="4" fontId="13" fillId="0" borderId="874" xfId="6" applyNumberFormat="1" applyFont="1" applyFill="1" applyBorder="1" applyAlignment="1" applyProtection="1">
      <alignment horizontal="right" vertical="center"/>
      <protection locked="0"/>
    </xf>
    <xf numFmtId="10" fontId="13" fillId="0" borderId="152" xfId="1" applyNumberFormat="1" applyFont="1" applyFill="1" applyBorder="1" applyAlignment="1" applyProtection="1">
      <alignment horizontal="right" vertical="center"/>
      <protection locked="0"/>
    </xf>
    <xf numFmtId="49" fontId="5" fillId="17" borderId="88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8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8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8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56" xfId="6" applyNumberFormat="1" applyFont="1" applyFill="1" applyBorder="1" applyAlignment="1" applyProtection="1">
      <alignment vertical="center" wrapText="1"/>
      <protection locked="0"/>
    </xf>
    <xf numFmtId="3" fontId="16" fillId="0" borderId="874" xfId="6" applyNumberFormat="1" applyFont="1" applyFill="1" applyBorder="1" applyAlignment="1" applyProtection="1">
      <alignment horizontal="right" vertical="center"/>
      <protection locked="0"/>
    </xf>
    <xf numFmtId="4" fontId="16" fillId="0" borderId="874" xfId="6" applyNumberFormat="1" applyFont="1" applyFill="1" applyBorder="1" applyAlignment="1" applyProtection="1">
      <alignment horizontal="right" vertical="center"/>
      <protection locked="0"/>
    </xf>
    <xf numFmtId="49" fontId="5" fillId="17" borderId="885" xfId="6" applyNumberFormat="1" applyFont="1" applyFill="1" applyBorder="1" applyAlignment="1" applyProtection="1">
      <alignment horizontal="left" vertical="center" wrapText="1"/>
      <protection locked="0"/>
    </xf>
    <xf numFmtId="4" fontId="5" fillId="0" borderId="879" xfId="6" applyNumberFormat="1" applyFont="1" applyFill="1" applyBorder="1" applyAlignment="1" applyProtection="1">
      <alignment horizontal="right" vertical="center"/>
      <protection locked="0"/>
    </xf>
    <xf numFmtId="49" fontId="5" fillId="17" borderId="88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8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8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8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9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9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92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168" xfId="0" applyFont="1" applyBorder="1" applyAlignment="1">
      <alignment vertical="center"/>
    </xf>
    <xf numFmtId="10" fontId="5" fillId="0" borderId="874" xfId="1" applyNumberFormat="1" applyFont="1" applyFill="1" applyBorder="1" applyAlignment="1" applyProtection="1">
      <alignment horizontal="right" vertical="center"/>
      <protection locked="0"/>
    </xf>
    <xf numFmtId="49" fontId="5" fillId="17" borderId="20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01" xfId="6" applyNumberFormat="1" applyFont="1" applyFill="1" applyBorder="1" applyAlignment="1" applyProtection="1">
      <alignment horizontal="left" vertical="center" wrapText="1"/>
      <protection locked="0"/>
    </xf>
    <xf numFmtId="0" fontId="5" fillId="0" borderId="877" xfId="6" applyNumberFormat="1" applyFont="1" applyFill="1" applyBorder="1" applyAlignment="1" applyProtection="1">
      <alignment vertical="center"/>
      <protection locked="0"/>
    </xf>
    <xf numFmtId="0" fontId="5" fillId="0" borderId="893" xfId="6" applyNumberFormat="1" applyFont="1" applyFill="1" applyBorder="1" applyAlignment="1" applyProtection="1">
      <alignment vertical="center"/>
      <protection locked="0"/>
    </xf>
    <xf numFmtId="49" fontId="5" fillId="0" borderId="88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9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6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95" xfId="6" applyNumberFormat="1" applyFont="1" applyFill="1" applyBorder="1" applyAlignment="1" applyProtection="1">
      <alignment vertical="center" wrapText="1"/>
      <protection locked="0"/>
    </xf>
    <xf numFmtId="49" fontId="5" fillId="17" borderId="896" xfId="6" applyNumberFormat="1" applyFont="1" applyFill="1" applyBorder="1" applyAlignment="1" applyProtection="1">
      <alignment vertical="center" wrapText="1"/>
      <protection locked="0"/>
    </xf>
    <xf numFmtId="3" fontId="5" fillId="0" borderId="898" xfId="6" applyNumberFormat="1" applyFont="1" applyFill="1" applyBorder="1" applyAlignment="1" applyProtection="1">
      <alignment horizontal="right" vertical="center"/>
      <protection locked="0"/>
    </xf>
    <xf numFmtId="4" fontId="5" fillId="0" borderId="898" xfId="6" applyNumberFormat="1" applyFont="1" applyFill="1" applyBorder="1" applyAlignment="1" applyProtection="1">
      <alignment horizontal="right" vertical="center"/>
      <protection locked="0"/>
    </xf>
    <xf numFmtId="49" fontId="5" fillId="17" borderId="89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00" xfId="6" applyNumberFormat="1" applyFont="1" applyFill="1" applyBorder="1" applyAlignment="1" applyProtection="1">
      <alignment horizontal="left" vertical="center" wrapText="1"/>
      <protection locked="0"/>
    </xf>
    <xf numFmtId="49" fontId="12" fillId="20" borderId="453" xfId="6" applyNumberFormat="1" applyFont="1" applyFill="1" applyBorder="1" applyAlignment="1" applyProtection="1">
      <alignment horizontal="center" vertical="center" wrapText="1"/>
      <protection locked="0"/>
    </xf>
    <xf numFmtId="3" fontId="13" fillId="0" borderId="898" xfId="6" applyNumberFormat="1" applyFont="1" applyFill="1" applyBorder="1" applyAlignment="1" applyProtection="1">
      <alignment horizontal="right" vertical="center"/>
      <protection locked="0"/>
    </xf>
    <xf numFmtId="4" fontId="13" fillId="0" borderId="898" xfId="6" applyNumberFormat="1" applyFont="1" applyFill="1" applyBorder="1" applyAlignment="1" applyProtection="1">
      <alignment horizontal="right" vertical="center"/>
      <protection locked="0"/>
    </xf>
    <xf numFmtId="49" fontId="5" fillId="17" borderId="90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0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04" xfId="6" applyNumberFormat="1" applyFont="1" applyFill="1" applyBorder="1" applyAlignment="1" applyProtection="1">
      <alignment horizontal="left" vertical="center" wrapText="1"/>
      <protection locked="0"/>
    </xf>
    <xf numFmtId="0" fontId="5" fillId="0" borderId="246" xfId="6" applyNumberFormat="1" applyFont="1" applyFill="1" applyBorder="1" applyAlignment="1" applyProtection="1">
      <alignment horizontal="left" vertical="center"/>
      <protection locked="0"/>
    </xf>
    <xf numFmtId="49" fontId="5" fillId="17" borderId="90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79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90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0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0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61" xfId="6" applyNumberFormat="1" applyFont="1" applyFill="1" applyBorder="1" applyAlignment="1" applyProtection="1">
      <alignment vertical="center" wrapText="1"/>
      <protection locked="0"/>
    </xf>
    <xf numFmtId="3" fontId="5" fillId="0" borderId="909" xfId="6" applyNumberFormat="1" applyFont="1" applyFill="1" applyBorder="1" applyAlignment="1" applyProtection="1">
      <alignment vertical="center"/>
      <protection locked="0"/>
    </xf>
    <xf numFmtId="4" fontId="5" fillId="0" borderId="909" xfId="6" applyNumberFormat="1" applyFont="1" applyFill="1" applyBorder="1" applyAlignment="1" applyProtection="1">
      <alignment vertical="center"/>
      <protection locked="0"/>
    </xf>
    <xf numFmtId="49" fontId="5" fillId="17" borderId="91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1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1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1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1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15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91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1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1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1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2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2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2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62" xfId="7" applyNumberFormat="1" applyFont="1" applyBorder="1" applyAlignment="1">
      <alignment horizontal="right" vertical="center"/>
    </xf>
    <xf numFmtId="4" fontId="5" fillId="0" borderId="162" xfId="7" applyNumberFormat="1" applyFont="1" applyBorder="1" applyAlignment="1">
      <alignment horizontal="right" vertical="center"/>
    </xf>
    <xf numFmtId="49" fontId="5" fillId="17" borderId="92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29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2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3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31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932" xfId="1" applyNumberFormat="1" applyFont="1" applyFill="1" applyBorder="1" applyAlignment="1" applyProtection="1">
      <alignment horizontal="right" vertical="center"/>
      <protection locked="0"/>
    </xf>
    <xf numFmtId="49" fontId="5" fillId="17" borderId="93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34" xfId="6" applyNumberFormat="1" applyFont="1" applyFill="1" applyBorder="1" applyAlignment="1" applyProtection="1">
      <alignment vertical="center" wrapText="1"/>
      <protection locked="0"/>
    </xf>
    <xf numFmtId="49" fontId="5" fillId="17" borderId="935" xfId="6" applyNumberFormat="1" applyFont="1" applyFill="1" applyBorder="1" applyAlignment="1" applyProtection="1">
      <alignment vertical="center" wrapText="1"/>
      <protection locked="0"/>
    </xf>
    <xf numFmtId="3" fontId="8" fillId="0" borderId="938" xfId="6" applyNumberFormat="1" applyFont="1" applyFill="1" applyBorder="1" applyAlignment="1" applyProtection="1">
      <alignment horizontal="right" vertical="center"/>
      <protection locked="0"/>
    </xf>
    <xf numFmtId="4" fontId="8" fillId="0" borderId="938" xfId="6" applyNumberFormat="1" applyFont="1" applyFill="1" applyBorder="1" applyAlignment="1" applyProtection="1">
      <alignment horizontal="right" vertical="center"/>
      <protection locked="0"/>
    </xf>
    <xf numFmtId="10" fontId="8" fillId="0" borderId="932" xfId="1" applyNumberFormat="1" applyFont="1" applyFill="1" applyBorder="1" applyAlignment="1" applyProtection="1">
      <alignment horizontal="right" vertical="center"/>
      <protection locked="0"/>
    </xf>
    <xf numFmtId="49" fontId="5" fillId="17" borderId="939" xfId="6" applyNumberFormat="1" applyFont="1" applyFill="1" applyBorder="1" applyAlignment="1" applyProtection="1">
      <alignment horizontal="center" vertical="center" wrapText="1"/>
      <protection locked="0"/>
    </xf>
    <xf numFmtId="10" fontId="13" fillId="0" borderId="932" xfId="1" applyNumberFormat="1" applyFont="1" applyFill="1" applyBorder="1" applyAlignment="1" applyProtection="1">
      <alignment horizontal="right" vertical="center"/>
      <protection locked="0"/>
    </xf>
    <xf numFmtId="49" fontId="5" fillId="17" borderId="94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4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44" xfId="6" applyNumberFormat="1" applyFont="1" applyFill="1" applyBorder="1" applyAlignment="1" applyProtection="1">
      <alignment horizontal="left" vertical="center" wrapText="1"/>
      <protection locked="0"/>
    </xf>
    <xf numFmtId="0" fontId="5" fillId="0" borderId="931" xfId="6" applyNumberFormat="1" applyFont="1" applyFill="1" applyBorder="1" applyAlignment="1" applyProtection="1">
      <alignment horizontal="left" vertical="center"/>
      <protection locked="0"/>
    </xf>
    <xf numFmtId="49" fontId="5" fillId="17" borderId="941" xfId="6" applyNumberFormat="1" applyFont="1" applyFill="1" applyBorder="1" applyAlignment="1" applyProtection="1">
      <alignment vertical="center" wrapText="1"/>
      <protection locked="0"/>
    </xf>
    <xf numFmtId="3" fontId="13" fillId="0" borderId="945" xfId="6" applyNumberFormat="1" applyFont="1" applyFill="1" applyBorder="1" applyAlignment="1" applyProtection="1">
      <alignment horizontal="right" vertical="center"/>
      <protection locked="0"/>
    </xf>
    <xf numFmtId="4" fontId="13" fillId="0" borderId="945" xfId="6" applyNumberFormat="1" applyFont="1" applyFill="1" applyBorder="1" applyAlignment="1" applyProtection="1">
      <alignment horizontal="right" vertical="center"/>
      <protection locked="0"/>
    </xf>
    <xf numFmtId="49" fontId="5" fillId="17" borderId="94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4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4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49" xfId="6" applyNumberFormat="1" applyFont="1" applyFill="1" applyBorder="1" applyAlignment="1" applyProtection="1">
      <alignment vertical="center" wrapText="1"/>
      <protection locked="0"/>
    </xf>
    <xf numFmtId="49" fontId="5" fillId="17" borderId="950" xfId="6" applyNumberFormat="1" applyFont="1" applyFill="1" applyBorder="1" applyAlignment="1" applyProtection="1">
      <alignment vertical="center" wrapText="1"/>
      <protection locked="0"/>
    </xf>
    <xf numFmtId="3" fontId="5" fillId="0" borderId="951" xfId="6" applyNumberFormat="1" applyFont="1" applyFill="1" applyBorder="1" applyAlignment="1" applyProtection="1">
      <alignment horizontal="right" vertical="center"/>
      <protection locked="0"/>
    </xf>
    <xf numFmtId="4" fontId="5" fillId="0" borderId="951" xfId="6" applyNumberFormat="1" applyFont="1" applyFill="1" applyBorder="1" applyAlignment="1" applyProtection="1">
      <alignment horizontal="right" vertical="center"/>
      <protection locked="0"/>
    </xf>
    <xf numFmtId="3" fontId="5" fillId="0" borderId="953" xfId="6" applyNumberFormat="1" applyFont="1" applyFill="1" applyBorder="1" applyAlignment="1" applyProtection="1">
      <alignment vertical="center"/>
      <protection locked="0"/>
    </xf>
    <xf numFmtId="4" fontId="5" fillId="0" borderId="953" xfId="6" applyNumberFormat="1" applyFont="1" applyFill="1" applyBorder="1" applyAlignment="1" applyProtection="1">
      <alignment vertical="center"/>
      <protection locked="0"/>
    </xf>
    <xf numFmtId="49" fontId="5" fillId="17" borderId="95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55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956" xfId="1" applyNumberFormat="1" applyFont="1" applyFill="1" applyBorder="1" applyAlignment="1" applyProtection="1">
      <alignment horizontal="right" vertical="center"/>
      <protection locked="0"/>
    </xf>
    <xf numFmtId="49" fontId="5" fillId="17" borderId="946" xfId="6" applyNumberFormat="1" applyFont="1" applyFill="1" applyBorder="1" applyAlignment="1" applyProtection="1">
      <alignment vertical="center" wrapText="1"/>
      <protection locked="0"/>
    </xf>
    <xf numFmtId="49" fontId="5" fillId="17" borderId="931" xfId="6" applyNumberFormat="1" applyFont="1" applyFill="1" applyBorder="1" applyAlignment="1" applyProtection="1">
      <alignment vertical="center" wrapText="1"/>
      <protection locked="0"/>
    </xf>
    <xf numFmtId="49" fontId="5" fillId="17" borderId="95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5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6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6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6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6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64" xfId="6" applyNumberFormat="1" applyFont="1" applyFill="1" applyBorder="1" applyAlignment="1" applyProtection="1">
      <alignment horizontal="left" vertical="center" wrapText="1"/>
      <protection locked="0"/>
    </xf>
    <xf numFmtId="3" fontId="8" fillId="0" borderId="898" xfId="6" applyNumberFormat="1" applyFont="1" applyFill="1" applyBorder="1" applyAlignment="1" applyProtection="1">
      <alignment horizontal="right" vertical="center"/>
      <protection locked="0"/>
    </xf>
    <xf numFmtId="4" fontId="8" fillId="0" borderId="898" xfId="6" applyNumberFormat="1" applyFont="1" applyFill="1" applyBorder="1" applyAlignment="1" applyProtection="1">
      <alignment horizontal="right" vertical="center"/>
      <protection locked="0"/>
    </xf>
    <xf numFmtId="49" fontId="5" fillId="17" borderId="96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6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6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93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7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974" xfId="6" applyNumberFormat="1" applyFont="1" applyFill="1" applyBorder="1" applyAlignment="1" applyProtection="1">
      <alignment horizontal="right" vertical="center"/>
      <protection locked="0"/>
    </xf>
    <xf numFmtId="4" fontId="5" fillId="0" borderId="974" xfId="6" applyNumberFormat="1" applyFont="1" applyFill="1" applyBorder="1" applyAlignment="1" applyProtection="1">
      <alignment horizontal="right" vertical="center"/>
      <protection locked="0"/>
    </xf>
    <xf numFmtId="10" fontId="16" fillId="0" borderId="932" xfId="1" applyNumberFormat="1" applyFont="1" applyFill="1" applyBorder="1" applyAlignment="1" applyProtection="1">
      <alignment horizontal="right" vertical="center"/>
      <protection locked="0"/>
    </xf>
    <xf numFmtId="49" fontId="5" fillId="17" borderId="97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7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55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165" xfId="6" applyNumberFormat="1" applyFont="1" applyFill="1" applyBorder="1" applyAlignment="1" applyProtection="1">
      <alignment horizontal="left" vertical="center" wrapText="1"/>
      <protection locked="0"/>
    </xf>
    <xf numFmtId="2" fontId="5" fillId="0" borderId="97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0" xfId="6" applyNumberFormat="1" applyFont="1" applyFill="1" applyBorder="1" applyAlignment="1" applyProtection="1">
      <alignment vertical="center" wrapText="1"/>
      <protection locked="0"/>
    </xf>
    <xf numFmtId="49" fontId="5" fillId="17" borderId="94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3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7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8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8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3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88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989" xfId="6" applyNumberFormat="1" applyFont="1" applyFill="1" applyBorder="1" applyAlignment="1" applyProtection="1">
      <alignment horizontal="right" vertical="center"/>
      <protection locked="0"/>
    </xf>
    <xf numFmtId="4" fontId="5" fillId="0" borderId="989" xfId="6" applyNumberFormat="1" applyFont="1" applyFill="1" applyBorder="1" applyAlignment="1" applyProtection="1">
      <alignment horizontal="right" vertical="center"/>
      <protection locked="0"/>
    </xf>
    <xf numFmtId="49" fontId="5" fillId="17" borderId="990" xfId="6" applyNumberFormat="1" applyFont="1" applyFill="1" applyBorder="1" applyAlignment="1" applyProtection="1">
      <alignment horizontal="left" vertical="center" wrapText="1"/>
      <protection locked="0"/>
    </xf>
    <xf numFmtId="3" fontId="8" fillId="0" borderId="989" xfId="6" applyNumberFormat="1" applyFont="1" applyFill="1" applyBorder="1" applyAlignment="1" applyProtection="1">
      <alignment horizontal="right" vertical="center"/>
      <protection locked="0"/>
    </xf>
    <xf numFmtId="4" fontId="8" fillId="0" borderId="989" xfId="6" applyNumberFormat="1" applyFont="1" applyFill="1" applyBorder="1" applyAlignment="1" applyProtection="1">
      <alignment horizontal="right" vertical="center"/>
      <protection locked="0"/>
    </xf>
    <xf numFmtId="49" fontId="5" fillId="17" borderId="99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94" xfId="6" applyNumberFormat="1" applyFont="1" applyFill="1" applyBorder="1" applyAlignment="1" applyProtection="1">
      <alignment horizontal="center" vertical="center" wrapText="1"/>
      <protection locked="0"/>
    </xf>
    <xf numFmtId="2" fontId="5" fillId="0" borderId="995" xfId="6" applyNumberFormat="1" applyFont="1" applyFill="1" applyBorder="1" applyAlignment="1" applyProtection="1">
      <alignment horizontal="left" vertical="center" wrapText="1"/>
      <protection locked="0"/>
    </xf>
    <xf numFmtId="4" fontId="35" fillId="0" borderId="162" xfId="6" applyNumberFormat="1" applyFont="1" applyFill="1" applyBorder="1" applyAlignment="1" applyProtection="1">
      <alignment horizontal="right" vertical="center"/>
      <protection locked="0"/>
    </xf>
    <xf numFmtId="3" fontId="31" fillId="0" borderId="997" xfId="6" applyNumberFormat="1" applyFont="1" applyFill="1" applyBorder="1" applyAlignment="1" applyProtection="1">
      <alignment horizontal="right" vertical="center"/>
      <protection locked="0"/>
    </xf>
    <xf numFmtId="4" fontId="31" fillId="0" borderId="997" xfId="6" applyNumberFormat="1" applyFont="1" applyFill="1" applyBorder="1" applyAlignment="1" applyProtection="1">
      <alignment horizontal="right" vertical="center"/>
      <protection locked="0"/>
    </xf>
    <xf numFmtId="49" fontId="31" fillId="17" borderId="99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9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997" xfId="6" applyNumberFormat="1" applyFont="1" applyFill="1" applyBorder="1" applyAlignment="1" applyProtection="1">
      <alignment horizontal="right" vertical="center"/>
      <protection locked="0"/>
    </xf>
    <xf numFmtId="4" fontId="5" fillId="0" borderId="997" xfId="6" applyNumberFormat="1" applyFont="1" applyFill="1" applyBorder="1" applyAlignment="1" applyProtection="1">
      <alignment horizontal="right" vertical="center"/>
      <protection locked="0"/>
    </xf>
    <xf numFmtId="49" fontId="85" fillId="0" borderId="8" xfId="6" applyNumberFormat="1" applyFont="1" applyFill="1" applyBorder="1" applyAlignment="1" applyProtection="1">
      <alignment vertical="center" wrapText="1"/>
      <protection locked="0"/>
    </xf>
    <xf numFmtId="49" fontId="31" fillId="0" borderId="1001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002" xfId="6" applyNumberFormat="1" applyFont="1" applyFill="1" applyBorder="1" applyAlignment="1" applyProtection="1">
      <alignment horizontal="left" vertical="center" wrapText="1"/>
      <protection locked="0"/>
    </xf>
    <xf numFmtId="49" fontId="85" fillId="0" borderId="199" xfId="6" applyNumberFormat="1" applyFont="1" applyFill="1" applyBorder="1" applyAlignment="1" applyProtection="1">
      <alignment vertical="center" wrapText="1"/>
      <protection locked="0"/>
    </xf>
    <xf numFmtId="49" fontId="85" fillId="0" borderId="164" xfId="6" applyNumberFormat="1" applyFont="1" applyFill="1" applyBorder="1" applyAlignment="1" applyProtection="1">
      <alignment horizontal="center" vertical="center" wrapText="1"/>
      <protection locked="0"/>
    </xf>
    <xf numFmtId="49" fontId="85" fillId="0" borderId="165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898" xfId="6" applyNumberFormat="1" applyFont="1" applyFill="1" applyBorder="1" applyAlignment="1" applyProtection="1">
      <alignment horizontal="right" vertical="center"/>
      <protection locked="0"/>
    </xf>
    <xf numFmtId="49" fontId="31" fillId="17" borderId="1005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898" xfId="6" applyNumberFormat="1" applyFont="1" applyFill="1" applyBorder="1" applyAlignment="1" applyProtection="1">
      <alignment horizontal="right" vertical="center"/>
      <protection locked="0"/>
    </xf>
    <xf numFmtId="49" fontId="31" fillId="17" borderId="100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0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08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009" xfId="6" applyNumberFormat="1" applyFont="1" applyFill="1" applyBorder="1" applyAlignment="1" applyProtection="1">
      <alignment horizontal="right" vertical="center"/>
      <protection locked="0"/>
    </xf>
    <xf numFmtId="4" fontId="5" fillId="0" borderId="1009" xfId="6" applyNumberFormat="1" applyFont="1" applyFill="1" applyBorder="1" applyAlignment="1" applyProtection="1">
      <alignment horizontal="right" vertical="center"/>
      <protection locked="0"/>
    </xf>
    <xf numFmtId="49" fontId="31" fillId="17" borderId="101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73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013" xfId="6" applyNumberFormat="1" applyFont="1" applyFill="1" applyBorder="1" applyAlignment="1" applyProtection="1">
      <alignment horizontal="right" vertical="center"/>
      <protection locked="0"/>
    </xf>
    <xf numFmtId="4" fontId="5" fillId="0" borderId="1013" xfId="6" applyNumberFormat="1" applyFont="1" applyFill="1" applyBorder="1" applyAlignment="1" applyProtection="1">
      <alignment horizontal="right" vertical="center"/>
      <protection locked="0"/>
    </xf>
    <xf numFmtId="49" fontId="35" fillId="20" borderId="248" xfId="6" applyNumberFormat="1" applyFont="1" applyFill="1" applyBorder="1" applyAlignment="1" applyProtection="1">
      <alignment horizontal="center" vertical="center" wrapText="1"/>
      <protection locked="0"/>
    </xf>
    <xf numFmtId="49" fontId="35" fillId="20" borderId="249" xfId="6" applyNumberFormat="1" applyFont="1" applyFill="1" applyBorder="1" applyAlignment="1" applyProtection="1">
      <alignment horizontal="left" vertical="center" wrapText="1"/>
      <protection locked="0"/>
    </xf>
    <xf numFmtId="49" fontId="31" fillId="21" borderId="1014" xfId="6" applyNumberFormat="1" applyFont="1" applyFill="1" applyBorder="1" applyAlignment="1" applyProtection="1">
      <alignment horizontal="left" vertical="center" wrapText="1"/>
      <protection locked="0"/>
    </xf>
    <xf numFmtId="3" fontId="5" fillId="6" borderId="898" xfId="6" applyNumberFormat="1" applyFont="1" applyFill="1" applyBorder="1" applyAlignment="1" applyProtection="1">
      <alignment horizontal="right" vertical="center"/>
      <protection locked="0"/>
    </xf>
    <xf numFmtId="4" fontId="5" fillId="6" borderId="898" xfId="6" applyNumberFormat="1" applyFont="1" applyFill="1" applyBorder="1" applyAlignment="1" applyProtection="1">
      <alignment horizontal="right" vertical="center"/>
      <protection locked="0"/>
    </xf>
    <xf numFmtId="49" fontId="31" fillId="21" borderId="1015" xfId="6" applyNumberFormat="1" applyFont="1" applyFill="1" applyBorder="1" applyAlignment="1" applyProtection="1">
      <alignment horizontal="center" vertical="center" wrapText="1"/>
      <protection locked="0"/>
    </xf>
    <xf numFmtId="49" fontId="35" fillId="21" borderId="8" xfId="6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/>
    </xf>
    <xf numFmtId="49" fontId="31" fillId="17" borderId="199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99" xfId="6" applyNumberFormat="1" applyFont="1" applyFill="1" applyBorder="1" applyAlignment="1" applyProtection="1">
      <alignment vertical="center" wrapText="1"/>
      <protection locked="0"/>
    </xf>
    <xf numFmtId="49" fontId="31" fillId="17" borderId="101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18" xfId="6" applyNumberFormat="1" applyFont="1" applyFill="1" applyBorder="1" applyAlignment="1" applyProtection="1">
      <alignment horizontal="left" vertical="center" wrapText="1"/>
      <protection locked="0"/>
    </xf>
    <xf numFmtId="3" fontId="5" fillId="6" borderId="874" xfId="6" applyNumberFormat="1" applyFont="1" applyFill="1" applyBorder="1" applyAlignment="1" applyProtection="1">
      <alignment horizontal="right" vertical="center"/>
      <protection locked="0"/>
    </xf>
    <xf numFmtId="4" fontId="5" fillId="6" borderId="874" xfId="6" applyNumberFormat="1" applyFont="1" applyFill="1" applyBorder="1" applyAlignment="1" applyProtection="1">
      <alignment horizontal="right" vertical="center"/>
      <protection locked="0"/>
    </xf>
    <xf numFmtId="49" fontId="10" fillId="21" borderId="1019" xfId="6" applyNumberFormat="1" applyFont="1" applyFill="1" applyBorder="1" applyAlignment="1" applyProtection="1">
      <alignment vertical="center" wrapText="1"/>
      <protection locked="0"/>
    </xf>
    <xf numFmtId="0" fontId="37" fillId="0" borderId="1020" xfId="0" applyFont="1" applyBorder="1" applyAlignment="1">
      <alignment vertical="center"/>
    </xf>
    <xf numFmtId="49" fontId="31" fillId="17" borderId="102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2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2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2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1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2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2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2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2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3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3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98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3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2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03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33" xfId="6" applyNumberFormat="1" applyFont="1" applyFill="1" applyBorder="1" applyAlignment="1" applyProtection="1">
      <alignment horizontal="center" vertical="center" wrapText="1"/>
      <protection locked="0"/>
    </xf>
    <xf numFmtId="3" fontId="35" fillId="0" borderId="874" xfId="6" applyNumberFormat="1" applyFont="1" applyFill="1" applyBorder="1" applyAlignment="1" applyProtection="1">
      <alignment horizontal="right" vertical="center"/>
      <protection locked="0"/>
    </xf>
    <xf numFmtId="3" fontId="8" fillId="0" borderId="874" xfId="6" applyNumberFormat="1" applyFont="1" applyFill="1" applyBorder="1" applyAlignment="1" applyProtection="1">
      <alignment horizontal="right" vertical="center"/>
      <protection locked="0"/>
    </xf>
    <xf numFmtId="4" fontId="8" fillId="0" borderId="874" xfId="6" applyNumberFormat="1" applyFont="1" applyFill="1" applyBorder="1" applyAlignment="1" applyProtection="1">
      <alignment horizontal="right" vertical="center"/>
      <protection locked="0"/>
    </xf>
    <xf numFmtId="49" fontId="5" fillId="17" borderId="102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3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3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2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03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92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3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15" xfId="6" applyNumberFormat="1" applyFont="1" applyFill="1" applyBorder="1" applyAlignment="1" applyProtection="1">
      <alignment horizontal="center" vertical="center" wrapText="1"/>
      <protection locked="0"/>
    </xf>
    <xf numFmtId="3" fontId="13" fillId="0" borderId="1013" xfId="6" applyNumberFormat="1" applyFont="1" applyFill="1" applyBorder="1" applyAlignment="1" applyProtection="1">
      <alignment horizontal="right" vertical="center"/>
      <protection locked="0"/>
    </xf>
    <xf numFmtId="4" fontId="13" fillId="0" borderId="1013" xfId="6" applyNumberFormat="1" applyFont="1" applyFill="1" applyBorder="1" applyAlignment="1" applyProtection="1">
      <alignment horizontal="right" vertical="center"/>
      <protection locked="0"/>
    </xf>
    <xf numFmtId="49" fontId="5" fillId="17" borderId="1036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7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99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31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94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34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1040" xfId="6" applyNumberFormat="1" applyFont="1" applyFill="1" applyBorder="1" applyAlignment="1" applyProtection="1">
      <alignment vertical="center" wrapText="1"/>
      <protection locked="0"/>
    </xf>
    <xf numFmtId="49" fontId="16" fillId="17" borderId="1041" xfId="6" applyNumberFormat="1" applyFont="1" applyFill="1" applyBorder="1" applyAlignment="1" applyProtection="1">
      <alignment vertical="center" wrapText="1"/>
      <protection locked="0"/>
    </xf>
    <xf numFmtId="10" fontId="5" fillId="0" borderId="1042" xfId="1" applyNumberFormat="1" applyFont="1" applyFill="1" applyBorder="1" applyAlignment="1" applyProtection="1">
      <alignment horizontal="right" vertical="center"/>
      <protection locked="0"/>
    </xf>
    <xf numFmtId="49" fontId="5" fillId="17" borderId="104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4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4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4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4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4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4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5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5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5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4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4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5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5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54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1055" xfId="6" applyNumberFormat="1" applyFont="1" applyFill="1" applyBorder="1" applyAlignment="1" applyProtection="1">
      <alignment vertical="center" wrapText="1"/>
      <protection locked="0"/>
    </xf>
    <xf numFmtId="49" fontId="16" fillId="17" borderId="1057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105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5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6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99" xfId="6" applyNumberFormat="1" applyFont="1" applyFill="1" applyBorder="1" applyAlignment="1" applyProtection="1">
      <alignment vertical="center" wrapText="1"/>
      <protection locked="0"/>
    </xf>
    <xf numFmtId="49" fontId="31" fillId="0" borderId="106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6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6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6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" xfId="6" applyNumberFormat="1" applyFont="1" applyFill="1" applyBorder="1" applyAlignment="1" applyProtection="1">
      <alignment vertical="center" wrapText="1"/>
      <protection locked="0"/>
    </xf>
    <xf numFmtId="49" fontId="31" fillId="17" borderId="106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6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9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5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6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6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6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6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6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7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6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7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6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7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073" xfId="6" applyNumberFormat="1" applyFont="1" applyFill="1" applyBorder="1" applyAlignment="1" applyProtection="1">
      <alignment horizontal="right" vertical="center"/>
      <protection locked="0"/>
    </xf>
    <xf numFmtId="3" fontId="5" fillId="0" borderId="1073" xfId="6" applyNumberFormat="1" applyFont="1" applyFill="1" applyBorder="1" applyAlignment="1" applyProtection="1">
      <alignment horizontal="right" vertical="center"/>
      <protection locked="0"/>
    </xf>
    <xf numFmtId="4" fontId="5" fillId="0" borderId="1073" xfId="6" applyNumberFormat="1" applyFont="1" applyFill="1" applyBorder="1" applyAlignment="1" applyProtection="1">
      <alignment horizontal="right" vertical="center"/>
      <protection locked="0"/>
    </xf>
    <xf numFmtId="49" fontId="31" fillId="17" borderId="107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5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7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04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76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981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981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1078" xfId="6" applyNumberFormat="1" applyFont="1" applyFill="1" applyBorder="1" applyAlignment="1" applyProtection="1">
      <alignment horizontal="right" vertical="center"/>
      <protection locked="0"/>
    </xf>
    <xf numFmtId="3" fontId="8" fillId="0" borderId="1078" xfId="6" applyNumberFormat="1" applyFont="1" applyFill="1" applyBorder="1" applyAlignment="1" applyProtection="1">
      <alignment horizontal="right" vertical="center"/>
      <protection locked="0"/>
    </xf>
    <xf numFmtId="4" fontId="8" fillId="0" borderId="1078" xfId="6" applyNumberFormat="1" applyFont="1" applyFill="1" applyBorder="1" applyAlignment="1" applyProtection="1">
      <alignment horizontal="right" vertical="center"/>
      <protection locked="0"/>
    </xf>
    <xf numFmtId="3" fontId="31" fillId="0" borderId="1078" xfId="6" applyNumberFormat="1" applyFont="1" applyFill="1" applyBorder="1" applyAlignment="1" applyProtection="1">
      <alignment horizontal="right" vertical="center"/>
      <protection locked="0"/>
    </xf>
    <xf numFmtId="3" fontId="5" fillId="0" borderId="1078" xfId="6" applyNumberFormat="1" applyFont="1" applyFill="1" applyBorder="1" applyAlignment="1" applyProtection="1">
      <alignment horizontal="right" vertical="center"/>
      <protection locked="0"/>
    </xf>
    <xf numFmtId="4" fontId="5" fillId="0" borderId="1078" xfId="6" applyNumberFormat="1" applyFont="1" applyFill="1" applyBorder="1" applyAlignment="1" applyProtection="1">
      <alignment horizontal="right" vertical="center"/>
      <protection locked="0"/>
    </xf>
    <xf numFmtId="49" fontId="31" fillId="17" borderId="108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8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8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83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084" xfId="1" applyNumberFormat="1" applyFont="1" applyFill="1" applyBorder="1" applyAlignment="1" applyProtection="1">
      <alignment horizontal="right" vertical="center"/>
      <protection locked="0"/>
    </xf>
    <xf numFmtId="49" fontId="31" fillId="17" borderId="108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86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7" xfId="6" applyNumberFormat="1" applyFont="1" applyFill="1" applyBorder="1" applyAlignment="1" applyProtection="1">
      <alignment horizontal="right" vertical="center"/>
      <protection locked="0"/>
    </xf>
    <xf numFmtId="10" fontId="5" fillId="0" borderId="1087" xfId="1" applyNumberFormat="1" applyFont="1" applyFill="1" applyBorder="1" applyAlignment="1" applyProtection="1">
      <alignment horizontal="right" vertical="center"/>
      <protection locked="0"/>
    </xf>
    <xf numFmtId="3" fontId="31" fillId="0" borderId="1084" xfId="6" applyNumberFormat="1" applyFont="1" applyFill="1" applyBorder="1" applyAlignment="1" applyProtection="1">
      <alignment horizontal="right" vertical="center"/>
      <protection locked="0"/>
    </xf>
    <xf numFmtId="3" fontId="5" fillId="0" borderId="1084" xfId="6" applyNumberFormat="1" applyFont="1" applyFill="1" applyBorder="1" applyAlignment="1" applyProtection="1">
      <alignment horizontal="right" vertical="center"/>
      <protection locked="0"/>
    </xf>
    <xf numFmtId="4" fontId="5" fillId="0" borderId="1084" xfId="6" applyNumberFormat="1" applyFont="1" applyFill="1" applyBorder="1" applyAlignment="1" applyProtection="1">
      <alignment horizontal="right" vertical="center"/>
      <protection locked="0"/>
    </xf>
    <xf numFmtId="49" fontId="31" fillId="17" borderId="1088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089" xfId="1" applyNumberFormat="1" applyFont="1" applyFill="1" applyBorder="1" applyAlignment="1" applyProtection="1">
      <alignment horizontal="right" vertical="center"/>
      <protection locked="0"/>
    </xf>
    <xf numFmtId="49" fontId="31" fillId="17" borderId="109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9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089" xfId="6" applyNumberFormat="1" applyFont="1" applyFill="1" applyBorder="1" applyAlignment="1" applyProtection="1">
      <alignment horizontal="right" vertical="center"/>
      <protection locked="0"/>
    </xf>
    <xf numFmtId="3" fontId="5" fillId="0" borderId="1089" xfId="6" applyNumberFormat="1" applyFont="1" applyFill="1" applyBorder="1" applyAlignment="1" applyProtection="1">
      <alignment horizontal="right" vertical="center"/>
      <protection locked="0"/>
    </xf>
    <xf numFmtId="4" fontId="5" fillId="0" borderId="1089" xfId="6" applyNumberFormat="1" applyFont="1" applyFill="1" applyBorder="1" applyAlignment="1" applyProtection="1">
      <alignment horizontal="right" vertical="center"/>
      <protection locked="0"/>
    </xf>
    <xf numFmtId="3" fontId="32" fillId="0" borderId="1095" xfId="6" applyNumberFormat="1" applyFont="1" applyFill="1" applyBorder="1" applyAlignment="1" applyProtection="1">
      <alignment horizontal="right" vertical="center"/>
      <protection locked="0"/>
    </xf>
    <xf numFmtId="3" fontId="13" fillId="0" borderId="1095" xfId="6" applyNumberFormat="1" applyFont="1" applyFill="1" applyBorder="1" applyAlignment="1" applyProtection="1">
      <alignment horizontal="right" vertical="center"/>
      <protection locked="0"/>
    </xf>
    <xf numFmtId="4" fontId="13" fillId="0" borderId="1095" xfId="6" applyNumberFormat="1" applyFont="1" applyFill="1" applyBorder="1" applyAlignment="1" applyProtection="1">
      <alignment horizontal="right" vertical="center"/>
      <protection locked="0"/>
    </xf>
    <xf numFmtId="49" fontId="31" fillId="17" borderId="96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9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97" xfId="6" applyNumberFormat="1" applyFont="1" applyFill="1" applyBorder="1" applyAlignment="1" applyProtection="1">
      <alignment horizontal="left" vertical="center" wrapText="1"/>
      <protection locked="0"/>
    </xf>
    <xf numFmtId="2" fontId="31" fillId="0" borderId="98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9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9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6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087" xfId="6" applyNumberFormat="1" applyFont="1" applyFill="1" applyBorder="1" applyAlignment="1" applyProtection="1">
      <alignment horizontal="right" vertical="center"/>
      <protection locked="0"/>
    </xf>
    <xf numFmtId="4" fontId="5" fillId="0" borderId="1087" xfId="6" applyNumberFormat="1" applyFont="1" applyFill="1" applyBorder="1" applyAlignment="1" applyProtection="1">
      <alignment horizontal="right" vertical="center"/>
      <protection locked="0"/>
    </xf>
    <xf numFmtId="49" fontId="5" fillId="17" borderId="1101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102" xfId="1" applyNumberFormat="1" applyFont="1" applyFill="1" applyBorder="1" applyAlignment="1" applyProtection="1">
      <alignment horizontal="right" vertical="center"/>
      <protection locked="0"/>
    </xf>
    <xf numFmtId="49" fontId="31" fillId="17" borderId="110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84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826" xfId="6" applyNumberFormat="1" applyFont="1" applyFill="1" applyBorder="1" applyAlignment="1" applyProtection="1">
      <alignment horizontal="right" vertical="center"/>
      <protection locked="0"/>
    </xf>
    <xf numFmtId="49" fontId="31" fillId="0" borderId="1098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0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05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06" xfId="6" applyNumberFormat="1" applyFont="1" applyFill="1" applyBorder="1" applyAlignment="1" applyProtection="1">
      <alignment vertical="center" wrapText="1"/>
      <protection locked="0"/>
    </xf>
    <xf numFmtId="2" fontId="31" fillId="0" borderId="107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71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08" xfId="6" applyNumberFormat="1" applyFont="1" applyFill="1" applyBorder="1" applyAlignment="1" applyProtection="1">
      <alignment horizontal="left" vertical="center" wrapText="1"/>
      <protection locked="0"/>
    </xf>
    <xf numFmtId="2" fontId="31" fillId="0" borderId="110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0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0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9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9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1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1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1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1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7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1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9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04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1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16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17" xfId="6" applyNumberFormat="1" applyFont="1" applyFill="1" applyBorder="1" applyAlignment="1" applyProtection="1">
      <alignment horizontal="right" vertical="center"/>
      <protection locked="0"/>
    </xf>
    <xf numFmtId="3" fontId="5" fillId="0" borderId="1117" xfId="6" applyNumberFormat="1" applyFont="1" applyFill="1" applyBorder="1" applyAlignment="1" applyProtection="1">
      <alignment horizontal="right" vertical="center"/>
      <protection locked="0"/>
    </xf>
    <xf numFmtId="4" fontId="5" fillId="0" borderId="1117" xfId="6" applyNumberFormat="1" applyFont="1" applyFill="1" applyBorder="1" applyAlignment="1" applyProtection="1">
      <alignment horizontal="right" vertical="center"/>
      <protection locked="0"/>
    </xf>
    <xf numFmtId="49" fontId="16" fillId="17" borderId="1118" xfId="6" applyNumberFormat="1" applyFont="1" applyFill="1" applyBorder="1" applyAlignment="1" applyProtection="1">
      <alignment vertical="center" wrapText="1"/>
      <protection locked="0"/>
    </xf>
    <xf numFmtId="49" fontId="16" fillId="17" borderId="1119" xfId="6" applyNumberFormat="1" applyFont="1" applyFill="1" applyBorder="1" applyAlignment="1" applyProtection="1">
      <alignment vertical="center" wrapText="1"/>
      <protection locked="0"/>
    </xf>
    <xf numFmtId="3" fontId="16" fillId="0" borderId="1089" xfId="6" applyNumberFormat="1" applyFont="1" applyFill="1" applyBorder="1" applyAlignment="1" applyProtection="1">
      <alignment horizontal="right" vertical="center"/>
      <protection locked="0"/>
    </xf>
    <xf numFmtId="4" fontId="16" fillId="0" borderId="1089" xfId="6" applyNumberFormat="1" applyFont="1" applyFill="1" applyBorder="1" applyAlignment="1" applyProtection="1">
      <alignment horizontal="right" vertical="center"/>
      <protection locked="0"/>
    </xf>
    <xf numFmtId="10" fontId="8" fillId="0" borderId="1102" xfId="1" applyNumberFormat="1" applyFont="1" applyFill="1" applyBorder="1" applyAlignment="1" applyProtection="1">
      <alignment horizontal="right" vertical="center"/>
      <protection locked="0"/>
    </xf>
    <xf numFmtId="3" fontId="31" fillId="0" borderId="1121" xfId="6" applyNumberFormat="1" applyFont="1" applyFill="1" applyBorder="1" applyAlignment="1" applyProtection="1">
      <alignment horizontal="right" vertical="center"/>
      <protection locked="0"/>
    </xf>
    <xf numFmtId="3" fontId="5" fillId="0" borderId="1121" xfId="6" applyNumberFormat="1" applyFont="1" applyFill="1" applyBorder="1" applyAlignment="1" applyProtection="1">
      <alignment horizontal="right" vertical="center"/>
      <protection locked="0"/>
    </xf>
    <xf numFmtId="4" fontId="5" fillId="0" borderId="1121" xfId="6" applyNumberFormat="1" applyFont="1" applyFill="1" applyBorder="1" applyAlignment="1" applyProtection="1">
      <alignment horizontal="right" vertical="center"/>
      <protection locked="0"/>
    </xf>
    <xf numFmtId="49" fontId="31" fillId="17" borderId="112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2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23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24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039" xfId="1" applyNumberFormat="1" applyFont="1" applyFill="1" applyBorder="1" applyAlignment="1" applyProtection="1">
      <alignment horizontal="right" vertical="center"/>
      <protection locked="0"/>
    </xf>
    <xf numFmtId="49" fontId="35" fillId="18" borderId="199" xfId="6" applyNumberFormat="1" applyFont="1" applyFill="1" applyBorder="1" applyAlignment="1" applyProtection="1">
      <alignment horizontal="center" vertical="center" wrapText="1"/>
      <protection locked="0"/>
    </xf>
    <xf numFmtId="10" fontId="8" fillId="2" borderId="198" xfId="1" applyNumberFormat="1" applyFont="1" applyFill="1" applyBorder="1" applyAlignment="1" applyProtection="1">
      <alignment horizontal="right" vertical="center"/>
      <protection locked="0"/>
    </xf>
    <xf numFmtId="3" fontId="8" fillId="0" borderId="1121" xfId="6" applyNumberFormat="1" applyFont="1" applyFill="1" applyBorder="1" applyAlignment="1" applyProtection="1">
      <alignment horizontal="right" vertical="center"/>
      <protection locked="0"/>
    </xf>
    <xf numFmtId="4" fontId="8" fillId="0" borderId="1121" xfId="6" applyNumberFormat="1" applyFont="1" applyFill="1" applyBorder="1" applyAlignment="1" applyProtection="1">
      <alignment horizontal="right" vertical="center"/>
      <protection locked="0"/>
    </xf>
    <xf numFmtId="49" fontId="31" fillId="17" borderId="112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3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3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32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1093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1094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35" xfId="6" applyNumberFormat="1" applyFont="1" applyFill="1" applyBorder="1" applyAlignment="1" applyProtection="1">
      <alignment horizontal="right" vertical="center"/>
      <protection locked="0"/>
    </xf>
    <xf numFmtId="4" fontId="5" fillId="0" borderId="1135" xfId="6" applyNumberFormat="1" applyFont="1" applyFill="1" applyBorder="1" applyAlignment="1" applyProtection="1">
      <alignment horizontal="right" vertical="center"/>
      <protection locked="0"/>
    </xf>
    <xf numFmtId="49" fontId="5" fillId="17" borderId="1136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137" xfId="6" applyNumberFormat="1" applyFont="1" applyFill="1" applyBorder="1" applyAlignment="1" applyProtection="1">
      <alignment horizontal="left" vertical="center" wrapText="1"/>
      <protection locked="0"/>
    </xf>
    <xf numFmtId="3" fontId="35" fillId="0" borderId="1135" xfId="6" applyNumberFormat="1" applyFont="1" applyFill="1" applyBorder="1" applyAlignment="1" applyProtection="1">
      <alignment horizontal="right" vertical="center"/>
      <protection locked="0"/>
    </xf>
    <xf numFmtId="3" fontId="8" fillId="0" borderId="1135" xfId="6" applyNumberFormat="1" applyFont="1" applyFill="1" applyBorder="1" applyAlignment="1" applyProtection="1">
      <alignment horizontal="right" vertical="center"/>
      <protection locked="0"/>
    </xf>
    <xf numFmtId="4" fontId="8" fillId="0" borderId="1135" xfId="6" applyNumberFormat="1" applyFont="1" applyFill="1" applyBorder="1" applyAlignment="1" applyProtection="1">
      <alignment horizontal="right" vertical="center"/>
      <protection locked="0"/>
    </xf>
    <xf numFmtId="3" fontId="31" fillId="0" borderId="874" xfId="6" applyNumberFormat="1" applyFont="1" applyFill="1" applyBorder="1" applyAlignment="1" applyProtection="1">
      <alignment vertical="center"/>
      <protection locked="0"/>
    </xf>
    <xf numFmtId="3" fontId="5" fillId="0" borderId="874" xfId="6" applyNumberFormat="1" applyFont="1" applyFill="1" applyBorder="1" applyAlignment="1" applyProtection="1">
      <alignment vertical="center"/>
      <protection locked="0"/>
    </xf>
    <xf numFmtId="4" fontId="5" fillId="0" borderId="874" xfId="6" applyNumberFormat="1" applyFont="1" applyFill="1" applyBorder="1" applyAlignment="1" applyProtection="1">
      <alignment vertical="center"/>
      <protection locked="0"/>
    </xf>
    <xf numFmtId="3" fontId="32" fillId="0" borderId="1135" xfId="6" applyNumberFormat="1" applyFont="1" applyFill="1" applyBorder="1" applyAlignment="1" applyProtection="1">
      <alignment vertical="center"/>
      <protection locked="0"/>
    </xf>
    <xf numFmtId="3" fontId="13" fillId="0" borderId="1135" xfId="6" applyNumberFormat="1" applyFont="1" applyFill="1" applyBorder="1" applyAlignment="1" applyProtection="1">
      <alignment vertical="center"/>
      <protection locked="0"/>
    </xf>
    <xf numFmtId="4" fontId="13" fillId="0" borderId="1135" xfId="6" applyNumberFormat="1" applyFont="1" applyFill="1" applyBorder="1" applyAlignment="1" applyProtection="1">
      <alignment vertical="center"/>
      <protection locked="0"/>
    </xf>
    <xf numFmtId="3" fontId="5" fillId="0" borderId="1135" xfId="7" applyNumberFormat="1" applyFont="1" applyBorder="1" applyAlignment="1">
      <alignment horizontal="right" vertical="center"/>
    </xf>
    <xf numFmtId="4" fontId="5" fillId="0" borderId="1135" xfId="7" applyNumberFormat="1" applyFont="1" applyBorder="1" applyAlignment="1">
      <alignment horizontal="right" vertical="center"/>
    </xf>
    <xf numFmtId="49" fontId="31" fillId="17" borderId="113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4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874" xfId="7" applyNumberFormat="1" applyFont="1" applyBorder="1" applyAlignment="1">
      <alignment horizontal="right" vertical="center"/>
    </xf>
    <xf numFmtId="4" fontId="5" fillId="0" borderId="874" xfId="7" applyNumberFormat="1" applyFont="1" applyBorder="1" applyAlignment="1">
      <alignment horizontal="right" vertical="center"/>
    </xf>
    <xf numFmtId="49" fontId="31" fillId="0" borderId="114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42" xfId="6" applyNumberFormat="1" applyFont="1" applyFill="1" applyBorder="1" applyAlignment="1" applyProtection="1">
      <alignment horizontal="left" vertical="center" wrapText="1"/>
      <protection locked="0"/>
    </xf>
    <xf numFmtId="3" fontId="32" fillId="0" borderId="874" xfId="6" applyNumberFormat="1" applyFont="1" applyFill="1" applyBorder="1" applyAlignment="1" applyProtection="1">
      <alignment vertical="center"/>
      <protection locked="0"/>
    </xf>
    <xf numFmtId="3" fontId="13" fillId="0" borderId="874" xfId="6" applyNumberFormat="1" applyFont="1" applyFill="1" applyBorder="1" applyAlignment="1" applyProtection="1">
      <alignment vertical="center"/>
      <protection locked="0"/>
    </xf>
    <xf numFmtId="4" fontId="13" fillId="0" borderId="874" xfId="6" applyNumberFormat="1" applyFont="1" applyFill="1" applyBorder="1" applyAlignment="1" applyProtection="1">
      <alignment vertical="center"/>
      <protection locked="0"/>
    </xf>
    <xf numFmtId="49" fontId="31" fillId="17" borderId="1110" xfId="6" applyNumberFormat="1" applyFont="1" applyFill="1" applyBorder="1" applyAlignment="1" applyProtection="1">
      <alignment horizontal="center" vertical="center" wrapText="1"/>
      <protection locked="0"/>
    </xf>
    <xf numFmtId="10" fontId="5" fillId="0" borderId="1144" xfId="1" applyNumberFormat="1" applyFont="1" applyFill="1" applyBorder="1" applyAlignment="1" applyProtection="1">
      <alignment horizontal="right" vertical="center"/>
      <protection locked="0"/>
    </xf>
    <xf numFmtId="49" fontId="31" fillId="17" borderId="111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1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35" xfId="6" applyNumberFormat="1" applyFont="1" applyFill="1" applyBorder="1" applyAlignment="1" applyProtection="1">
      <alignment horizontal="right" vertical="center"/>
      <protection locked="0"/>
    </xf>
    <xf numFmtId="49" fontId="31" fillId="17" borderId="114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4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8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47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49" xfId="6" applyNumberFormat="1" applyFont="1" applyFill="1" applyBorder="1" applyAlignment="1" applyProtection="1">
      <alignment vertical="center"/>
      <protection locked="0"/>
    </xf>
    <xf numFmtId="3" fontId="5" fillId="0" borderId="1149" xfId="6" applyNumberFormat="1" applyFont="1" applyFill="1" applyBorder="1" applyAlignment="1" applyProtection="1">
      <alignment vertical="center"/>
      <protection locked="0"/>
    </xf>
    <xf numFmtId="4" fontId="5" fillId="0" borderId="1149" xfId="6" applyNumberFormat="1" applyFont="1" applyFill="1" applyBorder="1" applyAlignment="1" applyProtection="1">
      <alignment vertical="center"/>
      <protection locked="0"/>
    </xf>
    <xf numFmtId="49" fontId="31" fillId="17" borderId="115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5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49" xfId="6" applyNumberFormat="1" applyFont="1" applyFill="1" applyBorder="1" applyAlignment="1" applyProtection="1">
      <alignment horizontal="right" vertical="center"/>
      <protection locked="0"/>
    </xf>
    <xf numFmtId="3" fontId="5" fillId="0" borderId="1149" xfId="6" applyNumberFormat="1" applyFont="1" applyFill="1" applyBorder="1" applyAlignment="1" applyProtection="1">
      <alignment horizontal="right" vertical="center"/>
      <protection locked="0"/>
    </xf>
    <xf numFmtId="4" fontId="5" fillId="0" borderId="1149" xfId="6" applyNumberFormat="1" applyFont="1" applyFill="1" applyBorder="1" applyAlignment="1" applyProtection="1">
      <alignment horizontal="right" vertical="center"/>
      <protection locked="0"/>
    </xf>
    <xf numFmtId="49" fontId="31" fillId="17" borderId="115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53" xfId="6" applyNumberFormat="1" applyFont="1" applyFill="1" applyBorder="1" applyAlignment="1" applyProtection="1">
      <alignment horizontal="left" vertical="center" wrapText="1"/>
      <protection locked="0"/>
    </xf>
    <xf numFmtId="0" fontId="31" fillId="0" borderId="1154" xfId="6" applyNumberFormat="1" applyFont="1" applyFill="1" applyBorder="1" applyAlignment="1" applyProtection="1">
      <alignment vertical="center"/>
      <protection locked="0"/>
    </xf>
    <xf numFmtId="0" fontId="31" fillId="0" borderId="1138" xfId="6" applyNumberFormat="1" applyFont="1" applyFill="1" applyBorder="1" applyAlignment="1" applyProtection="1">
      <alignment vertical="center"/>
      <protection locked="0"/>
    </xf>
    <xf numFmtId="49" fontId="31" fillId="0" borderId="115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156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57" xfId="7" applyNumberFormat="1" applyFont="1" applyBorder="1" applyAlignment="1">
      <alignment horizontal="right" vertical="center"/>
    </xf>
    <xf numFmtId="4" fontId="5" fillId="0" borderId="1157" xfId="7" applyNumberFormat="1" applyFont="1" applyBorder="1" applyAlignment="1">
      <alignment horizontal="right" vertical="center"/>
    </xf>
    <xf numFmtId="49" fontId="31" fillId="17" borderId="115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5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21" xfId="7" applyNumberFormat="1" applyFont="1" applyBorder="1" applyAlignment="1">
      <alignment horizontal="right" vertical="center"/>
    </xf>
    <xf numFmtId="4" fontId="5" fillId="0" borderId="1121" xfId="7" applyNumberFormat="1" applyFont="1" applyBorder="1" applyAlignment="1">
      <alignment horizontal="right" vertical="center"/>
    </xf>
    <xf numFmtId="49" fontId="31" fillId="17" borderId="1160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1161" xfId="7" applyNumberFormat="1" applyFont="1" applyBorder="1" applyAlignment="1">
      <alignment horizontal="right" vertical="center"/>
    </xf>
    <xf numFmtId="4" fontId="5" fillId="0" borderId="1161" xfId="7" applyNumberFormat="1" applyFont="1" applyBorder="1" applyAlignment="1">
      <alignment horizontal="right" vertical="center"/>
    </xf>
    <xf numFmtId="3" fontId="5" fillId="0" borderId="1162" xfId="7" applyNumberFormat="1" applyFont="1" applyBorder="1" applyAlignment="1">
      <alignment horizontal="right" vertical="center"/>
    </xf>
    <xf numFmtId="4" fontId="5" fillId="0" borderId="1162" xfId="7" applyNumberFormat="1" applyFont="1" applyBorder="1" applyAlignment="1">
      <alignment horizontal="right" vertical="center"/>
    </xf>
    <xf numFmtId="10" fontId="5" fillId="0" borderId="1163" xfId="1" applyNumberFormat="1" applyFont="1" applyFill="1" applyBorder="1" applyAlignment="1" applyProtection="1">
      <alignment horizontal="right" vertical="center"/>
      <protection locked="0"/>
    </xf>
    <xf numFmtId="49" fontId="31" fillId="17" borderId="116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6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3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66" xfId="6" applyNumberFormat="1" applyFont="1" applyFill="1" applyBorder="1" applyAlignment="1" applyProtection="1">
      <alignment horizontal="center" vertical="center" wrapText="1"/>
      <protection locked="0"/>
    </xf>
    <xf numFmtId="3" fontId="31" fillId="0" borderId="1161" xfId="6" applyNumberFormat="1" applyFont="1" applyFill="1" applyBorder="1" applyAlignment="1" applyProtection="1">
      <alignment horizontal="right" vertical="center"/>
      <protection locked="0"/>
    </xf>
    <xf numFmtId="3" fontId="5" fillId="0" borderId="1161" xfId="6" applyNumberFormat="1" applyFont="1" applyFill="1" applyBorder="1" applyAlignment="1" applyProtection="1">
      <alignment horizontal="right" vertical="center"/>
      <protection locked="0"/>
    </xf>
    <xf numFmtId="4" fontId="5" fillId="0" borderId="1161" xfId="6" applyNumberFormat="1" applyFont="1" applyFill="1" applyBorder="1" applyAlignment="1" applyProtection="1">
      <alignment horizontal="right" vertical="center"/>
      <protection locked="0"/>
    </xf>
    <xf numFmtId="3" fontId="31" fillId="0" borderId="1135" xfId="6" applyNumberFormat="1" applyFont="1" applyFill="1" applyBorder="1" applyAlignment="1" applyProtection="1">
      <alignment vertical="center"/>
      <protection locked="0"/>
    </xf>
    <xf numFmtId="3" fontId="5" fillId="0" borderId="1135" xfId="6" applyNumberFormat="1" applyFont="1" applyFill="1" applyBorder="1" applyAlignment="1" applyProtection="1">
      <alignment vertical="center"/>
      <protection locked="0"/>
    </xf>
    <xf numFmtId="4" fontId="5" fillId="0" borderId="1135" xfId="6" applyNumberFormat="1" applyFont="1" applyFill="1" applyBorder="1" applyAlignment="1" applyProtection="1">
      <alignment vertical="center"/>
      <protection locked="0"/>
    </xf>
    <xf numFmtId="10" fontId="8" fillId="0" borderId="1144" xfId="1" applyNumberFormat="1" applyFont="1" applyFill="1" applyBorder="1" applyAlignment="1" applyProtection="1">
      <alignment horizontal="right" vertical="center"/>
      <protection locked="0"/>
    </xf>
    <xf numFmtId="3" fontId="31" fillId="0" borderId="1095" xfId="6" applyNumberFormat="1" applyFont="1" applyFill="1" applyBorder="1" applyAlignment="1" applyProtection="1">
      <alignment horizontal="right" vertical="center"/>
      <protection locked="0"/>
    </xf>
    <xf numFmtId="3" fontId="5" fillId="0" borderId="1095" xfId="6" applyNumberFormat="1" applyFont="1" applyFill="1" applyBorder="1" applyAlignment="1" applyProtection="1">
      <alignment horizontal="right" vertical="center"/>
      <protection locked="0"/>
    </xf>
    <xf numFmtId="4" fontId="5" fillId="0" borderId="1095" xfId="6" applyNumberFormat="1" applyFont="1" applyFill="1" applyBorder="1" applyAlignment="1" applyProtection="1">
      <alignment horizontal="right" vertical="center"/>
      <protection locked="0"/>
    </xf>
    <xf numFmtId="49" fontId="31" fillId="17" borderId="1104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058" xfId="1" applyNumberFormat="1" applyFont="1" applyFill="1" applyBorder="1" applyAlignment="1" applyProtection="1">
      <alignment horizontal="right" vertical="center"/>
      <protection locked="0"/>
    </xf>
    <xf numFmtId="2" fontId="31" fillId="0" borderId="115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41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70" xfId="6" applyNumberFormat="1" applyFont="1" applyFill="1" applyBorder="1" applyAlignment="1" applyProtection="1">
      <alignment horizontal="left" vertical="center" wrapText="1"/>
      <protection locked="0"/>
    </xf>
    <xf numFmtId="2" fontId="31" fillId="0" borderId="1062" xfId="6" applyNumberFormat="1" applyFont="1" applyFill="1" applyBorder="1" applyAlignment="1" applyProtection="1">
      <alignment horizontal="left" vertical="center" wrapText="1"/>
      <protection locked="0"/>
    </xf>
    <xf numFmtId="2" fontId="31" fillId="0" borderId="115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71" xfId="6" applyNumberFormat="1" applyFont="1" applyFill="1" applyBorder="1" applyAlignment="1" applyProtection="1">
      <alignment horizontal="center" vertical="center" wrapText="1"/>
      <protection locked="0"/>
    </xf>
    <xf numFmtId="2" fontId="31" fillId="0" borderId="1172" xfId="6" applyNumberFormat="1" applyFont="1" applyFill="1" applyBorder="1" applyAlignment="1" applyProtection="1">
      <alignment horizontal="left" vertical="center" wrapText="1"/>
      <protection locked="0"/>
    </xf>
    <xf numFmtId="10" fontId="13" fillId="0" borderId="1144" xfId="1" applyNumberFormat="1" applyFont="1" applyFill="1" applyBorder="1" applyAlignment="1" applyProtection="1">
      <alignment horizontal="right" vertical="center"/>
      <protection locked="0"/>
    </xf>
    <xf numFmtId="49" fontId="5" fillId="17" borderId="113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40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75" xfId="6" applyNumberFormat="1" applyFont="1" applyFill="1" applyBorder="1" applyAlignment="1" applyProtection="1">
      <alignment horizontal="right" vertical="center"/>
      <protection locked="0"/>
    </xf>
    <xf numFmtId="4" fontId="5" fillId="0" borderId="1175" xfId="6" applyNumberFormat="1" applyFont="1" applyFill="1" applyBorder="1" applyAlignment="1" applyProtection="1">
      <alignment horizontal="right" vertical="center"/>
      <protection locked="0"/>
    </xf>
    <xf numFmtId="10" fontId="5" fillId="0" borderId="1176" xfId="1" applyNumberFormat="1" applyFont="1" applyFill="1" applyBorder="1" applyAlignment="1" applyProtection="1">
      <alignment horizontal="right" vertical="center"/>
      <protection locked="0"/>
    </xf>
    <xf numFmtId="49" fontId="5" fillId="17" borderId="114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77" xfId="6" applyNumberFormat="1" applyFont="1" applyFill="1" applyBorder="1" applyAlignment="1" applyProtection="1">
      <alignment vertical="center" wrapText="1"/>
      <protection locked="0"/>
    </xf>
    <xf numFmtId="3" fontId="13" fillId="0" borderId="1175" xfId="6" applyNumberFormat="1" applyFont="1" applyFill="1" applyBorder="1" applyAlignment="1" applyProtection="1">
      <alignment horizontal="right" vertical="center"/>
      <protection locked="0"/>
    </xf>
    <xf numFmtId="4" fontId="13" fillId="0" borderId="1175" xfId="6" applyNumberFormat="1" applyFont="1" applyFill="1" applyBorder="1" applyAlignment="1" applyProtection="1">
      <alignment horizontal="right" vertical="center"/>
      <protection locked="0"/>
    </xf>
    <xf numFmtId="10" fontId="13" fillId="0" borderId="1176" xfId="1" applyNumberFormat="1" applyFont="1" applyFill="1" applyBorder="1" applyAlignment="1" applyProtection="1">
      <alignment horizontal="right" vertical="center"/>
      <protection locked="0"/>
    </xf>
    <xf numFmtId="49" fontId="5" fillId="17" borderId="116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6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79" xfId="6" applyNumberFormat="1" applyFont="1" applyFill="1" applyBorder="1" applyAlignment="1" applyProtection="1">
      <alignment vertical="center" wrapText="1"/>
      <protection locked="0"/>
    </xf>
    <xf numFmtId="49" fontId="5" fillId="17" borderId="1138" xfId="6" applyNumberFormat="1" applyFont="1" applyFill="1" applyBorder="1" applyAlignment="1" applyProtection="1">
      <alignment vertical="center" wrapText="1"/>
      <protection locked="0"/>
    </xf>
    <xf numFmtId="49" fontId="5" fillId="17" borderId="1178" xfId="6" applyNumberFormat="1" applyFont="1" applyFill="1" applyBorder="1" applyAlignment="1" applyProtection="1">
      <alignment horizontal="left" vertical="center" wrapText="1"/>
      <protection locked="0"/>
    </xf>
    <xf numFmtId="10" fontId="5" fillId="0" borderId="1135" xfId="1" applyNumberFormat="1" applyFont="1" applyFill="1" applyBorder="1" applyAlignment="1" applyProtection="1">
      <alignment horizontal="right" vertical="center"/>
      <protection locked="0"/>
    </xf>
    <xf numFmtId="49" fontId="5" fillId="17" borderId="1130" xfId="6" applyNumberFormat="1" applyFont="1" applyFill="1" applyBorder="1" applyAlignment="1" applyProtection="1">
      <alignment horizontal="left" vertical="center" wrapText="1"/>
      <protection locked="0"/>
    </xf>
    <xf numFmtId="3" fontId="8" fillId="0" borderId="1175" xfId="6" applyNumberFormat="1" applyFont="1" applyFill="1" applyBorder="1" applyAlignment="1" applyProtection="1">
      <alignment horizontal="right" vertical="center"/>
      <protection locked="0"/>
    </xf>
    <xf numFmtId="4" fontId="8" fillId="0" borderId="1175" xfId="6" applyNumberFormat="1" applyFont="1" applyFill="1" applyBorder="1" applyAlignment="1" applyProtection="1">
      <alignment horizontal="right" vertical="center"/>
      <protection locked="0"/>
    </xf>
    <xf numFmtId="10" fontId="8" fillId="0" borderId="1176" xfId="1" applyNumberFormat="1" applyFont="1" applyFill="1" applyBorder="1" applyAlignment="1" applyProtection="1">
      <alignment horizontal="right" vertical="center"/>
      <protection locked="0"/>
    </xf>
    <xf numFmtId="49" fontId="5" fillId="17" borderId="118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8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82" xfId="6" applyNumberFormat="1" applyFont="1" applyFill="1" applyBorder="1" applyAlignment="1" applyProtection="1">
      <alignment vertical="center" wrapText="1"/>
      <protection locked="0"/>
    </xf>
    <xf numFmtId="49" fontId="5" fillId="0" borderId="113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83" xfId="6" applyNumberFormat="1" applyFont="1" applyFill="1" applyBorder="1" applyAlignment="1" applyProtection="1">
      <alignment vertical="center" wrapText="1"/>
      <protection locked="0"/>
    </xf>
    <xf numFmtId="49" fontId="5" fillId="17" borderId="1184" xfId="6" applyNumberFormat="1" applyFont="1" applyFill="1" applyBorder="1" applyAlignment="1" applyProtection="1">
      <alignment vertical="center" wrapText="1"/>
      <protection locked="0"/>
    </xf>
    <xf numFmtId="3" fontId="5" fillId="0" borderId="1162" xfId="6" applyNumberFormat="1" applyFont="1" applyFill="1" applyBorder="1" applyAlignment="1" applyProtection="1">
      <alignment horizontal="right" vertical="center"/>
      <protection locked="0"/>
    </xf>
    <xf numFmtId="4" fontId="5" fillId="0" borderId="1162" xfId="6" applyNumberFormat="1" applyFont="1" applyFill="1" applyBorder="1" applyAlignment="1" applyProtection="1">
      <alignment horizontal="right" vertical="center"/>
      <protection locked="0"/>
    </xf>
    <xf numFmtId="49" fontId="5" fillId="21" borderId="1186" xfId="6" applyNumberFormat="1" applyFont="1" applyFill="1" applyBorder="1" applyAlignment="1" applyProtection="1">
      <alignment horizontal="center" vertical="center" wrapText="1"/>
      <protection locked="0"/>
    </xf>
    <xf numFmtId="49" fontId="5" fillId="21" borderId="1182" xfId="6" applyNumberFormat="1" applyFont="1" applyFill="1" applyBorder="1" applyAlignment="1" applyProtection="1">
      <alignment horizontal="left" vertical="center" wrapText="1"/>
      <protection locked="0"/>
    </xf>
    <xf numFmtId="49" fontId="12" fillId="21" borderId="1177" xfId="6" applyNumberFormat="1" applyFont="1" applyFill="1" applyBorder="1" applyAlignment="1" applyProtection="1">
      <alignment horizontal="center" vertical="center" wrapText="1"/>
      <protection locked="0"/>
    </xf>
    <xf numFmtId="49" fontId="12" fillId="21" borderId="1182" xfId="6" applyNumberFormat="1" applyFont="1" applyFill="1" applyBorder="1" applyAlignment="1" applyProtection="1">
      <alignment horizontal="left" vertical="center" wrapText="1"/>
      <protection locked="0"/>
    </xf>
    <xf numFmtId="3" fontId="8" fillId="0" borderId="1175" xfId="6" applyNumberFormat="1" applyFont="1" applyFill="1" applyBorder="1" applyAlignment="1" applyProtection="1">
      <alignment vertical="center"/>
      <protection locked="0"/>
    </xf>
    <xf numFmtId="4" fontId="8" fillId="0" borderId="1175" xfId="6" applyNumberFormat="1" applyFont="1" applyFill="1" applyBorder="1" applyAlignment="1" applyProtection="1">
      <alignment vertical="center"/>
      <protection locked="0"/>
    </xf>
    <xf numFmtId="49" fontId="5" fillId="17" borderId="1187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88" xfId="6" applyNumberFormat="1" applyFont="1" applyFill="1" applyBorder="1" applyAlignment="1" applyProtection="1">
      <alignment vertical="center"/>
      <protection locked="0"/>
    </xf>
    <xf numFmtId="4" fontId="5" fillId="0" borderId="1188" xfId="6" applyNumberFormat="1" applyFont="1" applyFill="1" applyBorder="1" applyAlignment="1" applyProtection="1">
      <alignment vertical="center"/>
      <protection locked="0"/>
    </xf>
    <xf numFmtId="49" fontId="5" fillId="17" borderId="118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9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8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8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75" xfId="6" applyNumberFormat="1" applyFont="1" applyFill="1" applyBorder="1" applyAlignment="1" applyProtection="1">
      <alignment horizontal="right" vertical="center"/>
      <protection locked="0"/>
    </xf>
    <xf numFmtId="3" fontId="35" fillId="0" borderId="1175" xfId="6" applyNumberFormat="1" applyFont="1" applyFill="1" applyBorder="1" applyAlignment="1" applyProtection="1">
      <alignment horizontal="right" vertical="center"/>
      <protection locked="0"/>
    </xf>
    <xf numFmtId="49" fontId="31" fillId="17" borderId="119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9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9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9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9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9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8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9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96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197" xfId="6" applyNumberFormat="1" applyFont="1" applyFill="1" applyBorder="1" applyAlignment="1" applyProtection="1">
      <alignment horizontal="right" vertical="center"/>
      <protection locked="0"/>
    </xf>
    <xf numFmtId="3" fontId="5" fillId="0" borderId="1197" xfId="6" applyNumberFormat="1" applyFont="1" applyFill="1" applyBorder="1" applyAlignment="1" applyProtection="1">
      <alignment horizontal="right" vertical="center"/>
      <protection locked="0"/>
    </xf>
    <xf numFmtId="4" fontId="5" fillId="0" borderId="1197" xfId="6" applyNumberFormat="1" applyFont="1" applyFill="1" applyBorder="1" applyAlignment="1" applyProtection="1">
      <alignment horizontal="right" vertical="center"/>
      <protection locked="0"/>
    </xf>
    <xf numFmtId="10" fontId="5" fillId="0" borderId="1198" xfId="1" applyNumberFormat="1" applyFont="1" applyFill="1" applyBorder="1" applyAlignment="1" applyProtection="1">
      <alignment horizontal="right" vertical="center"/>
      <protection locked="0"/>
    </xf>
    <xf numFmtId="49" fontId="5" fillId="17" borderId="119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8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7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0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0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8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3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0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03" xfId="6" applyNumberFormat="1" applyFont="1" applyFill="1" applyBorder="1" applyAlignment="1" applyProtection="1">
      <alignment horizontal="center" vertical="center" wrapText="1"/>
      <protection locked="0"/>
    </xf>
    <xf numFmtId="10" fontId="16" fillId="0" borderId="1176" xfId="1" applyNumberFormat="1" applyFont="1" applyFill="1" applyBorder="1" applyAlignment="1" applyProtection="1">
      <alignment horizontal="right" vertical="center"/>
      <protection locked="0"/>
    </xf>
    <xf numFmtId="49" fontId="31" fillId="17" borderId="1204" xfId="6" applyNumberFormat="1" applyFont="1" applyFill="1" applyBorder="1" applyAlignment="1" applyProtection="1">
      <alignment horizontal="center" vertical="center" wrapText="1"/>
      <protection locked="0"/>
    </xf>
    <xf numFmtId="49" fontId="5" fillId="21" borderId="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19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08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1188" xfId="6" applyNumberFormat="1" applyFont="1" applyFill="1" applyBorder="1" applyAlignment="1" applyProtection="1">
      <alignment horizontal="right" vertical="center"/>
      <protection locked="0"/>
    </xf>
    <xf numFmtId="3" fontId="16" fillId="0" borderId="1188" xfId="6" applyNumberFormat="1" applyFont="1" applyFill="1" applyBorder="1" applyAlignment="1" applyProtection="1">
      <alignment horizontal="right" vertical="center"/>
      <protection locked="0"/>
    </xf>
    <xf numFmtId="4" fontId="16" fillId="0" borderId="1188" xfId="6" applyNumberFormat="1" applyFont="1" applyFill="1" applyBorder="1" applyAlignment="1" applyProtection="1">
      <alignment horizontal="right" vertical="center"/>
      <protection locked="0"/>
    </xf>
    <xf numFmtId="49" fontId="5" fillId="17" borderId="1209" xfId="6" applyNumberFormat="1" applyFont="1" applyFill="1" applyBorder="1" applyAlignment="1" applyProtection="1">
      <alignment horizontal="center" vertical="center" wrapText="1"/>
      <protection locked="0"/>
    </xf>
    <xf numFmtId="3" fontId="5" fillId="0" borderId="1210" xfId="6" applyNumberFormat="1" applyFont="1" applyFill="1" applyBorder="1" applyAlignment="1" applyProtection="1">
      <alignment horizontal="right" vertical="center"/>
      <protection locked="0"/>
    </xf>
    <xf numFmtId="4" fontId="5" fillId="0" borderId="1210" xfId="6" applyNumberFormat="1" applyFont="1" applyFill="1" applyBorder="1" applyAlignment="1" applyProtection="1">
      <alignment horizontal="right" vertical="center"/>
      <protection locked="0"/>
    </xf>
    <xf numFmtId="49" fontId="5" fillId="17" borderId="121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08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57" xfId="6" applyNumberFormat="1" applyFont="1" applyFill="1" applyBorder="1" applyAlignment="1" applyProtection="1">
      <alignment horizontal="right" vertical="center"/>
      <protection locked="0"/>
    </xf>
    <xf numFmtId="4" fontId="5" fillId="0" borderId="1157" xfId="6" applyNumberFormat="1" applyFont="1" applyFill="1" applyBorder="1" applyAlignment="1" applyProtection="1">
      <alignment horizontal="right" vertical="center"/>
      <protection locked="0"/>
    </xf>
    <xf numFmtId="49" fontId="5" fillId="17" borderId="117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3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186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138" xfId="6" applyNumberFormat="1" applyFont="1" applyFill="1" applyBorder="1" applyAlignment="1" applyProtection="1">
      <alignment horizontal="left" vertical="center" wrapText="1"/>
      <protection locked="0"/>
    </xf>
    <xf numFmtId="3" fontId="13" fillId="0" borderId="1210" xfId="6" applyNumberFormat="1" applyFont="1" applyFill="1" applyBorder="1" applyAlignment="1" applyProtection="1">
      <alignment horizontal="right" vertical="center"/>
      <protection locked="0"/>
    </xf>
    <xf numFmtId="4" fontId="13" fillId="0" borderId="1210" xfId="6" applyNumberFormat="1" applyFont="1" applyFill="1" applyBorder="1" applyAlignment="1" applyProtection="1">
      <alignment horizontal="right" vertical="center"/>
      <protection locked="0"/>
    </xf>
    <xf numFmtId="49" fontId="5" fillId="17" borderId="121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182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188" xfId="7" applyNumberFormat="1" applyFont="1" applyBorder="1" applyAlignment="1">
      <alignment horizontal="right" vertical="center"/>
    </xf>
    <xf numFmtId="4" fontId="5" fillId="0" borderId="1188" xfId="7" applyNumberFormat="1" applyFont="1" applyBorder="1" applyAlignment="1">
      <alignment horizontal="right" vertical="center"/>
    </xf>
    <xf numFmtId="49" fontId="5" fillId="17" borderId="121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14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8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15" xfId="6" applyNumberFormat="1" applyFont="1" applyFill="1" applyBorder="1" applyAlignment="1" applyProtection="1">
      <alignment horizontal="left" vertical="center" wrapText="1"/>
      <protection locked="0"/>
    </xf>
    <xf numFmtId="10" fontId="8" fillId="10" borderId="1216" xfId="1" applyNumberFormat="1" applyFont="1" applyFill="1" applyBorder="1" applyAlignment="1" applyProtection="1">
      <alignment horizontal="right" vertical="center"/>
      <protection locked="0"/>
    </xf>
    <xf numFmtId="49" fontId="5" fillId="0" borderId="1192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193" xfId="6" applyNumberFormat="1" applyFont="1" applyFill="1" applyBorder="1" applyAlignment="1" applyProtection="1">
      <alignment horizontal="left" vertical="center" wrapText="1"/>
      <protection locked="0"/>
    </xf>
    <xf numFmtId="49" fontId="12" fillId="20" borderId="1216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17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18" xfId="6" applyNumberFormat="1" applyFont="1" applyFill="1" applyBorder="1" applyAlignment="1" applyProtection="1">
      <alignment horizontal="left" vertical="center" wrapText="1"/>
      <protection locked="0"/>
    </xf>
    <xf numFmtId="3" fontId="12" fillId="10" borderId="1216" xfId="6" applyNumberFormat="1" applyFont="1" applyFill="1" applyBorder="1" applyAlignment="1" applyProtection="1">
      <alignment horizontal="right" vertical="center"/>
      <protection locked="0"/>
    </xf>
    <xf numFmtId="4" fontId="12" fillId="10" borderId="1216" xfId="6" applyNumberFormat="1" applyFont="1" applyFill="1" applyBorder="1" applyAlignment="1" applyProtection="1">
      <alignment horizontal="right" vertical="center"/>
      <protection locked="0"/>
    </xf>
    <xf numFmtId="3" fontId="85" fillId="10" borderId="1216" xfId="6" applyNumberFormat="1" applyFont="1" applyFill="1" applyBorder="1" applyAlignment="1" applyProtection="1">
      <alignment horizontal="right" vertical="center"/>
      <protection locked="0"/>
    </xf>
    <xf numFmtId="3" fontId="12" fillId="10" borderId="1219" xfId="6" applyNumberFormat="1" applyFont="1" applyFill="1" applyBorder="1" applyAlignment="1" applyProtection="1">
      <alignment horizontal="right" vertical="center"/>
      <protection locked="0"/>
    </xf>
    <xf numFmtId="4" fontId="12" fillId="10" borderId="1219" xfId="6" applyNumberFormat="1" applyFont="1" applyFill="1" applyBorder="1" applyAlignment="1" applyProtection="1">
      <alignment horizontal="right" vertical="center"/>
      <protection locked="0"/>
    </xf>
    <xf numFmtId="10" fontId="8" fillId="10" borderId="1220" xfId="1" applyNumberFormat="1" applyFont="1" applyFill="1" applyBorder="1" applyAlignment="1" applyProtection="1">
      <alignment horizontal="right" vertical="center"/>
      <protection locked="0"/>
    </xf>
    <xf numFmtId="49" fontId="5" fillId="17" borderId="117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99" xfId="6" applyNumberFormat="1" applyFont="1" applyFill="1" applyBorder="1" applyAlignment="1" applyProtection="1">
      <alignment vertical="center" wrapText="1"/>
      <protection locked="0"/>
    </xf>
    <xf numFmtId="49" fontId="5" fillId="17" borderId="16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61" xfId="6" applyNumberFormat="1" applyFont="1" applyFill="1" applyBorder="1" applyAlignment="1" applyProtection="1">
      <alignment horizontal="left" vertical="center" wrapText="1"/>
      <protection locked="0"/>
    </xf>
    <xf numFmtId="49" fontId="12" fillId="20" borderId="1220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21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22" xfId="6" applyNumberFormat="1" applyFont="1" applyFill="1" applyBorder="1" applyAlignment="1" applyProtection="1">
      <alignment horizontal="left" vertical="center" wrapText="1"/>
      <protection locked="0"/>
    </xf>
    <xf numFmtId="3" fontId="12" fillId="10" borderId="1220" xfId="6" applyNumberFormat="1" applyFont="1" applyFill="1" applyBorder="1" applyAlignment="1" applyProtection="1">
      <alignment horizontal="right" vertical="center"/>
      <protection locked="0"/>
    </xf>
    <xf numFmtId="4" fontId="12" fillId="10" borderId="1220" xfId="6" applyNumberFormat="1" applyFont="1" applyFill="1" applyBorder="1" applyAlignment="1" applyProtection="1">
      <alignment horizontal="right" vertical="center"/>
      <protection locked="0"/>
    </xf>
    <xf numFmtId="49" fontId="5" fillId="0" borderId="120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2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5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2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94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27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20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0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0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3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3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0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0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78" xfId="6" applyNumberFormat="1" applyFont="1" applyFill="1" applyBorder="1" applyAlignment="1" applyProtection="1">
      <alignment horizontal="left" vertical="center" wrapText="1"/>
      <protection locked="0"/>
    </xf>
    <xf numFmtId="10" fontId="31" fillId="0" borderId="1176" xfId="1" applyNumberFormat="1" applyFont="1" applyFill="1" applyBorder="1" applyAlignment="1" applyProtection="1">
      <alignment horizontal="right" vertical="center"/>
      <protection locked="0"/>
    </xf>
    <xf numFmtId="49" fontId="35" fillId="18" borderId="1234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1220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1221" xfId="6" applyNumberFormat="1" applyFont="1" applyFill="1" applyBorder="1" applyAlignment="1" applyProtection="1">
      <alignment horizontal="center" vertical="center" wrapText="1"/>
      <protection locked="0"/>
    </xf>
    <xf numFmtId="49" fontId="35" fillId="18" borderId="1222" xfId="6" applyNumberFormat="1" applyFont="1" applyFill="1" applyBorder="1" applyAlignment="1" applyProtection="1">
      <alignment horizontal="left" vertical="center" wrapText="1"/>
      <protection locked="0"/>
    </xf>
    <xf numFmtId="3" fontId="35" fillId="2" borderId="1220" xfId="6" applyNumberFormat="1" applyFont="1" applyFill="1" applyBorder="1" applyAlignment="1" applyProtection="1">
      <alignment horizontal="right" vertical="center"/>
      <protection locked="0"/>
    </xf>
    <xf numFmtId="4" fontId="35" fillId="2" borderId="1220" xfId="6" applyNumberFormat="1" applyFont="1" applyFill="1" applyBorder="1" applyAlignment="1" applyProtection="1">
      <alignment horizontal="right" vertical="center"/>
      <protection locked="0"/>
    </xf>
    <xf numFmtId="10" fontId="35" fillId="2" borderId="1235" xfId="1" applyNumberFormat="1" applyFont="1" applyFill="1" applyBorder="1" applyAlignment="1" applyProtection="1">
      <alignment horizontal="right" vertical="center"/>
      <protection locked="0"/>
    </xf>
    <xf numFmtId="49" fontId="85" fillId="20" borderId="1220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221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222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1220" xfId="6" applyNumberFormat="1" applyFont="1" applyFill="1" applyBorder="1" applyAlignment="1" applyProtection="1">
      <alignment horizontal="right" vertical="center"/>
      <protection locked="0"/>
    </xf>
    <xf numFmtId="4" fontId="85" fillId="10" borderId="1220" xfId="6" applyNumberFormat="1" applyFont="1" applyFill="1" applyBorder="1" applyAlignment="1" applyProtection="1">
      <alignment horizontal="right" vertical="center"/>
      <protection locked="0"/>
    </xf>
    <xf numFmtId="10" fontId="35" fillId="10" borderId="1220" xfId="1" applyNumberFormat="1" applyFont="1" applyFill="1" applyBorder="1" applyAlignment="1" applyProtection="1">
      <alignment horizontal="right" vertical="center"/>
      <protection locked="0"/>
    </xf>
    <xf numFmtId="10" fontId="35" fillId="0" borderId="1176" xfId="1" applyNumberFormat="1" applyFont="1" applyFill="1" applyBorder="1" applyAlignment="1" applyProtection="1">
      <alignment horizontal="right" vertical="center"/>
      <protection locked="0"/>
    </xf>
    <xf numFmtId="49" fontId="35" fillId="0" borderId="1" xfId="6" applyNumberFormat="1" applyFont="1" applyFill="1" applyBorder="1" applyAlignment="1" applyProtection="1">
      <alignment horizontal="left" vertical="center" wrapText="1"/>
      <protection locked="0"/>
    </xf>
    <xf numFmtId="4" fontId="31" fillId="0" borderId="7" xfId="6" applyNumberFormat="1" applyFont="1" applyFill="1" applyBorder="1" applyAlignment="1" applyProtection="1">
      <alignment horizontal="right" vertical="center"/>
      <protection locked="0"/>
    </xf>
    <xf numFmtId="10" fontId="31" fillId="0" borderId="1198" xfId="1" applyNumberFormat="1" applyFont="1" applyFill="1" applyBorder="1" applyAlignment="1" applyProtection="1">
      <alignment horizontal="right" vertical="center"/>
      <protection locked="0"/>
    </xf>
    <xf numFmtId="49" fontId="31" fillId="17" borderId="119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13" xfId="6" applyNumberFormat="1" applyFont="1" applyFill="1" applyBorder="1" applyAlignment="1" applyProtection="1">
      <alignment horizontal="left" vertical="center" wrapText="1"/>
      <protection locked="0"/>
    </xf>
    <xf numFmtId="4" fontId="35" fillId="0" borderId="874" xfId="6" applyNumberFormat="1" applyFont="1" applyFill="1" applyBorder="1" applyAlignment="1" applyProtection="1">
      <alignment horizontal="right" vertical="center"/>
      <protection locked="0"/>
    </xf>
    <xf numFmtId="49" fontId="31" fillId="17" borderId="1208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15" xfId="0" applyNumberFormat="1" applyFont="1" applyBorder="1" applyAlignment="1">
      <alignment vertical="center" wrapText="1"/>
    </xf>
    <xf numFmtId="10" fontId="35" fillId="0" borderId="1198" xfId="1" applyNumberFormat="1" applyFont="1" applyFill="1" applyBorder="1" applyAlignment="1" applyProtection="1">
      <alignment horizontal="right" vertical="center"/>
      <protection locked="0"/>
    </xf>
    <xf numFmtId="49" fontId="31" fillId="17" borderId="1141" xfId="6" applyNumberFormat="1" applyFont="1" applyFill="1" applyBorder="1" applyAlignment="1" applyProtection="1">
      <alignment vertical="center" wrapText="1"/>
      <protection locked="0"/>
    </xf>
    <xf numFmtId="0" fontId="1" fillId="0" borderId="1182" xfId="0" applyFont="1" applyBorder="1" applyAlignment="1">
      <alignment vertical="center"/>
    </xf>
    <xf numFmtId="49" fontId="31" fillId="0" borderId="1138" xfId="0" applyNumberFormat="1" applyFont="1" applyBorder="1" applyAlignment="1">
      <alignment vertical="center" wrapText="1"/>
    </xf>
    <xf numFmtId="10" fontId="32" fillId="0" borderId="1176" xfId="1" applyNumberFormat="1" applyFont="1" applyFill="1" applyBorder="1" applyAlignment="1" applyProtection="1">
      <alignment horizontal="right" vertical="center"/>
      <protection locked="0"/>
    </xf>
    <xf numFmtId="49" fontId="31" fillId="17" borderId="1238" xfId="6" applyNumberFormat="1" applyFont="1" applyFill="1" applyBorder="1" applyAlignment="1" applyProtection="1">
      <alignment horizontal="center" vertical="center" wrapText="1"/>
      <protection locked="0"/>
    </xf>
    <xf numFmtId="3" fontId="31" fillId="0" borderId="1240" xfId="6" applyNumberFormat="1" applyFont="1" applyFill="1" applyBorder="1" applyAlignment="1" applyProtection="1">
      <alignment horizontal="right" vertical="center"/>
      <protection locked="0"/>
    </xf>
    <xf numFmtId="4" fontId="31" fillId="0" borderId="1240" xfId="6" applyNumberFormat="1" applyFont="1" applyFill="1" applyBorder="1" applyAlignment="1" applyProtection="1">
      <alignment horizontal="right" vertical="center"/>
      <protection locked="0"/>
    </xf>
    <xf numFmtId="49" fontId="31" fillId="17" borderId="1241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42" xfId="0" applyNumberFormat="1" applyFont="1" applyBorder="1" applyAlignment="1">
      <alignment vertical="center" wrapText="1"/>
    </xf>
    <xf numFmtId="49" fontId="31" fillId="0" borderId="123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43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4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39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44" xfId="0" applyNumberFormat="1" applyFont="1" applyBorder="1" applyAlignment="1">
      <alignment vertical="center" wrapText="1"/>
    </xf>
    <xf numFmtId="49" fontId="31" fillId="17" borderId="1245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46" xfId="0" applyNumberFormat="1" applyFont="1" applyBorder="1" applyAlignment="1">
      <alignment vertical="center" wrapText="1"/>
    </xf>
    <xf numFmtId="49" fontId="31" fillId="17" borderId="1247" xfId="6" applyNumberFormat="1" applyFont="1" applyFill="1" applyBorder="1" applyAlignment="1" applyProtection="1">
      <alignment horizontal="left" vertical="center" wrapText="1"/>
      <protection locked="0"/>
    </xf>
    <xf numFmtId="3" fontId="32" fillId="0" borderId="1240" xfId="6" applyNumberFormat="1" applyFont="1" applyFill="1" applyBorder="1" applyAlignment="1" applyProtection="1">
      <alignment horizontal="right" vertical="center"/>
      <protection locked="0"/>
    </xf>
    <xf numFmtId="4" fontId="32" fillId="0" borderId="1240" xfId="6" applyNumberFormat="1" applyFont="1" applyFill="1" applyBorder="1" applyAlignment="1" applyProtection="1">
      <alignment horizontal="right" vertical="center"/>
      <protection locked="0"/>
    </xf>
    <xf numFmtId="49" fontId="31" fillId="17" borderId="124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20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3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22" xfId="0" applyNumberFormat="1" applyFont="1" applyBorder="1" applyAlignment="1">
      <alignment vertical="center" wrapText="1"/>
    </xf>
    <xf numFmtId="3" fontId="31" fillId="6" borderId="1220" xfId="6" applyNumberFormat="1" applyFont="1" applyFill="1" applyBorder="1" applyAlignment="1" applyProtection="1">
      <alignment horizontal="right" vertical="center"/>
      <protection locked="0"/>
    </xf>
    <xf numFmtId="4" fontId="31" fillId="6" borderId="1220" xfId="6" applyNumberFormat="1" applyFont="1" applyFill="1" applyBorder="1" applyAlignment="1" applyProtection="1">
      <alignment horizontal="right" vertical="center"/>
      <protection locked="0"/>
    </xf>
    <xf numFmtId="10" fontId="31" fillId="0" borderId="198" xfId="1" applyNumberFormat="1" applyFont="1" applyFill="1" applyBorder="1" applyAlignment="1" applyProtection="1">
      <alignment horizontal="right" vertical="center"/>
      <protection locked="0"/>
    </xf>
    <xf numFmtId="3" fontId="31" fillId="0" borderId="1250" xfId="6" applyNumberFormat="1" applyFont="1" applyFill="1" applyBorder="1" applyAlignment="1" applyProtection="1">
      <alignment horizontal="right" vertical="center"/>
      <protection locked="0"/>
    </xf>
    <xf numFmtId="4" fontId="31" fillId="0" borderId="1250" xfId="6" applyNumberFormat="1" applyFont="1" applyFill="1" applyBorder="1" applyAlignment="1" applyProtection="1">
      <alignment horizontal="right" vertical="center"/>
      <protection locked="0"/>
    </xf>
    <xf numFmtId="49" fontId="31" fillId="17" borderId="1138" xfId="6" applyNumberFormat="1" applyFont="1" applyFill="1" applyBorder="1" applyAlignment="1" applyProtection="1">
      <alignment vertical="center" wrapText="1"/>
      <protection locked="0"/>
    </xf>
    <xf numFmtId="49" fontId="31" fillId="17" borderId="125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5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3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3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5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5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45" xfId="6" applyNumberFormat="1" applyFont="1" applyFill="1" applyBorder="1" applyAlignment="1" applyProtection="1">
      <alignment vertical="center" wrapText="1"/>
      <protection locked="0"/>
    </xf>
    <xf numFmtId="49" fontId="31" fillId="17" borderId="125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42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99" xfId="6" applyNumberFormat="1" applyFont="1" applyFill="1" applyBorder="1" applyAlignment="1" applyProtection="1">
      <alignment horizontal="right" vertical="center"/>
      <protection locked="0"/>
    </xf>
    <xf numFmtId="4" fontId="31" fillId="0" borderId="199" xfId="6" applyNumberFormat="1" applyFont="1" applyFill="1" applyBorder="1" applyAlignment="1" applyProtection="1">
      <alignment horizontal="right" vertical="center"/>
      <protection locked="0"/>
    </xf>
    <xf numFmtId="3" fontId="35" fillId="0" borderId="1250" xfId="6" applyNumberFormat="1" applyFont="1" applyFill="1" applyBorder="1" applyAlignment="1" applyProtection="1">
      <alignment horizontal="right" vertical="center"/>
      <protection locked="0"/>
    </xf>
    <xf numFmtId="4" fontId="35" fillId="0" borderId="1250" xfId="6" applyNumberFormat="1" applyFont="1" applyFill="1" applyBorder="1" applyAlignment="1" applyProtection="1">
      <alignment horizontal="right" vertical="center"/>
      <protection locked="0"/>
    </xf>
    <xf numFmtId="49" fontId="31" fillId="17" borderId="1259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227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62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6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0" xfId="6" applyNumberFormat="1" applyFont="1" applyFill="1" applyBorder="1" applyAlignment="1" applyProtection="1">
      <alignment horizontal="center" vertical="center" wrapText="1"/>
      <protection locked="0"/>
    </xf>
    <xf numFmtId="3" fontId="32" fillId="0" borderId="1250" xfId="6" applyNumberFormat="1" applyFont="1" applyFill="1" applyBorder="1" applyAlignment="1" applyProtection="1">
      <alignment horizontal="right" vertical="center"/>
      <protection locked="0"/>
    </xf>
    <xf numFmtId="4" fontId="32" fillId="0" borderId="1250" xfId="6" applyNumberFormat="1" applyFont="1" applyFill="1" applyBorder="1" applyAlignment="1" applyProtection="1">
      <alignment horizontal="right" vertical="center"/>
      <protection locked="0"/>
    </xf>
    <xf numFmtId="49" fontId="31" fillId="17" borderId="126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141" xfId="6" applyNumberFormat="1" applyFont="1" applyFill="1" applyBorder="1" applyAlignment="1" applyProtection="1">
      <alignment horizontal="center" vertical="center" wrapText="1"/>
      <protection locked="0"/>
    </xf>
    <xf numFmtId="49" fontId="31" fillId="21" borderId="7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4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70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3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20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21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22" xfId="6" applyNumberFormat="1" applyFont="1" applyFill="1" applyBorder="1" applyAlignment="1" applyProtection="1">
      <alignment horizontal="left" vertical="center" wrapText="1"/>
      <protection locked="0"/>
    </xf>
    <xf numFmtId="3" fontId="8" fillId="2" borderId="1220" xfId="6" applyNumberFormat="1" applyFont="1" applyFill="1" applyBorder="1" applyAlignment="1" applyProtection="1">
      <alignment horizontal="right" vertical="center"/>
      <protection locked="0"/>
    </xf>
    <xf numFmtId="4" fontId="8" fillId="2" borderId="1220" xfId="6" applyNumberFormat="1" applyFont="1" applyFill="1" applyBorder="1" applyAlignment="1" applyProtection="1">
      <alignment horizontal="right" vertical="center"/>
      <protection locked="0"/>
    </xf>
    <xf numFmtId="10" fontId="8" fillId="2" borderId="1220" xfId="1" applyNumberFormat="1" applyFont="1" applyFill="1" applyBorder="1" applyAlignment="1" applyProtection="1">
      <alignment horizontal="right" vertical="center"/>
      <protection locked="0"/>
    </xf>
    <xf numFmtId="3" fontId="5" fillId="0" borderId="1240" xfId="6" applyNumberFormat="1" applyFont="1" applyFill="1" applyBorder="1" applyAlignment="1" applyProtection="1">
      <alignment horizontal="right" vertical="center"/>
      <protection locked="0"/>
    </xf>
    <xf numFmtId="4" fontId="5" fillId="0" borderId="1240" xfId="6" applyNumberFormat="1" applyFont="1" applyFill="1" applyBorder="1" applyAlignment="1" applyProtection="1">
      <alignment horizontal="right" vertical="center"/>
      <protection locked="0"/>
    </xf>
    <xf numFmtId="3" fontId="13" fillId="0" borderId="1240" xfId="6" applyNumberFormat="1" applyFont="1" applyFill="1" applyBorder="1" applyAlignment="1" applyProtection="1">
      <alignment horizontal="right" vertical="center"/>
      <protection locked="0"/>
    </xf>
    <xf numFmtId="4" fontId="13" fillId="0" borderId="1240" xfId="6" applyNumberFormat="1" applyFont="1" applyFill="1" applyBorder="1" applyAlignment="1" applyProtection="1">
      <alignment horizontal="right" vertical="center"/>
      <protection locked="0"/>
    </xf>
    <xf numFmtId="49" fontId="5" fillId="17" borderId="124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4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5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55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271" xfId="6" applyNumberFormat="1" applyFont="1" applyFill="1" applyBorder="1" applyAlignment="1" applyProtection="1">
      <alignment horizontal="right" vertical="center"/>
      <protection locked="0"/>
    </xf>
    <xf numFmtId="4" fontId="5" fillId="0" borderId="1271" xfId="6" applyNumberFormat="1" applyFont="1" applyFill="1" applyBorder="1" applyAlignment="1" applyProtection="1">
      <alignment horizontal="right" vertical="center"/>
      <protection locked="0"/>
    </xf>
    <xf numFmtId="49" fontId="5" fillId="17" borderId="1272" xfId="6" applyNumberFormat="1" applyFont="1" applyFill="1" applyBorder="1" applyAlignment="1" applyProtection="1">
      <alignment vertical="center" wrapText="1"/>
      <protection locked="0"/>
    </xf>
    <xf numFmtId="3" fontId="16" fillId="0" borderId="1240" xfId="6" applyNumberFormat="1" applyFont="1" applyFill="1" applyBorder="1" applyAlignment="1" applyProtection="1">
      <alignment horizontal="right" vertical="center"/>
      <protection locked="0"/>
    </xf>
    <xf numFmtId="4" fontId="16" fillId="0" borderId="1240" xfId="6" applyNumberFormat="1" applyFont="1" applyFill="1" applyBorder="1" applyAlignment="1" applyProtection="1">
      <alignment horizontal="right" vertical="center"/>
      <protection locked="0"/>
    </xf>
    <xf numFmtId="49" fontId="5" fillId="17" borderId="1273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274" xfId="0" applyNumberFormat="1" applyFont="1" applyBorder="1" applyAlignment="1">
      <alignment vertical="center" wrapText="1"/>
    </xf>
    <xf numFmtId="49" fontId="5" fillId="17" borderId="125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5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5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4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7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7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41" xfId="6" applyNumberFormat="1" applyFont="1" applyFill="1" applyBorder="1" applyAlignment="1" applyProtection="1">
      <alignment vertical="center" wrapText="1"/>
      <protection locked="0"/>
    </xf>
    <xf numFmtId="49" fontId="5" fillId="17" borderId="127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4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82" xfId="6" applyNumberFormat="1" applyFont="1" applyFill="1" applyBorder="1" applyAlignment="1" applyProtection="1">
      <alignment vertical="center" wrapText="1"/>
      <protection locked="0"/>
    </xf>
    <xf numFmtId="3" fontId="31" fillId="0" borderId="1188" xfId="6" applyNumberFormat="1" applyFont="1" applyFill="1" applyBorder="1" applyAlignment="1" applyProtection="1">
      <alignment horizontal="right" vertical="center"/>
      <protection locked="0"/>
    </xf>
    <xf numFmtId="4" fontId="5" fillId="0" borderId="1188" xfId="6" applyNumberFormat="1" applyFont="1" applyFill="1" applyBorder="1" applyAlignment="1" applyProtection="1">
      <alignment horizontal="right" vertical="center"/>
      <protection locked="0"/>
    </xf>
    <xf numFmtId="49" fontId="5" fillId="17" borderId="127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78" xfId="6" applyNumberFormat="1" applyFont="1" applyFill="1" applyBorder="1" applyAlignment="1" applyProtection="1">
      <alignment horizontal="center" vertical="center" wrapText="1"/>
      <protection locked="0"/>
    </xf>
    <xf numFmtId="3" fontId="8" fillId="10" borderId="1220" xfId="6" applyNumberFormat="1" applyFont="1" applyFill="1" applyBorder="1" applyAlignment="1" applyProtection="1">
      <alignment horizontal="right" vertical="center"/>
      <protection locked="0"/>
    </xf>
    <xf numFmtId="4" fontId="8" fillId="10" borderId="1220" xfId="6" applyNumberFormat="1" applyFont="1" applyFill="1" applyBorder="1" applyAlignment="1" applyProtection="1">
      <alignment horizontal="right" vertical="center"/>
      <protection locked="0"/>
    </xf>
    <xf numFmtId="3" fontId="5" fillId="6" borderId="1271" xfId="6" applyNumberFormat="1" applyFont="1" applyFill="1" applyBorder="1" applyAlignment="1" applyProtection="1">
      <alignment horizontal="right" vertical="center"/>
      <protection locked="0"/>
    </xf>
    <xf numFmtId="4" fontId="5" fillId="6" borderId="1271" xfId="6" applyNumberFormat="1" applyFont="1" applyFill="1" applyBorder="1" applyAlignment="1" applyProtection="1">
      <alignment horizontal="right" vertical="center"/>
      <protection locked="0"/>
    </xf>
    <xf numFmtId="49" fontId="8" fillId="21" borderId="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79" xfId="6" applyNumberFormat="1" applyFont="1" applyFill="1" applyBorder="1" applyAlignment="1" applyProtection="1">
      <alignment horizontal="center" vertical="center" wrapText="1"/>
      <protection locked="0"/>
    </xf>
    <xf numFmtId="49" fontId="5" fillId="21" borderId="4" xfId="6" applyNumberFormat="1" applyFont="1" applyFill="1" applyBorder="1" applyAlignment="1" applyProtection="1">
      <alignment vertical="center" wrapText="1"/>
      <protection locked="0"/>
    </xf>
    <xf numFmtId="49" fontId="12" fillId="20" borderId="1280" xfId="6" applyNumberFormat="1" applyFont="1" applyFill="1" applyBorder="1" applyAlignment="1" applyProtection="1">
      <alignment horizontal="center" vertical="center" wrapText="1"/>
      <protection locked="0"/>
    </xf>
    <xf numFmtId="49" fontId="12" fillId="20" borderId="1281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250" xfId="6" applyNumberFormat="1" applyFont="1" applyFill="1" applyBorder="1" applyAlignment="1" applyProtection="1">
      <alignment horizontal="right" vertical="center"/>
      <protection locked="0"/>
    </xf>
    <xf numFmtId="4" fontId="5" fillId="0" borderId="1250" xfId="6" applyNumberFormat="1" applyFont="1" applyFill="1" applyBorder="1" applyAlignment="1" applyProtection="1">
      <alignment horizontal="right" vertical="center"/>
      <protection locked="0"/>
    </xf>
    <xf numFmtId="3" fontId="13" fillId="0" borderId="1250" xfId="6" applyNumberFormat="1" applyFont="1" applyFill="1" applyBorder="1" applyAlignment="1" applyProtection="1">
      <alignment horizontal="right" vertical="center"/>
      <protection locked="0"/>
    </xf>
    <xf numFmtId="4" fontId="13" fillId="0" borderId="1250" xfId="6" applyNumberFormat="1" applyFont="1" applyFill="1" applyBorder="1" applyAlignment="1" applyProtection="1">
      <alignment horizontal="right" vertical="center"/>
      <protection locked="0"/>
    </xf>
    <xf numFmtId="49" fontId="5" fillId="17" borderId="128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45" xfId="6" applyNumberFormat="1" applyFont="1" applyFill="1" applyBorder="1" applyAlignment="1" applyProtection="1">
      <alignment vertical="center" wrapText="1"/>
      <protection locked="0"/>
    </xf>
    <xf numFmtId="3" fontId="16" fillId="0" borderId="1250" xfId="6" applyNumberFormat="1" applyFont="1" applyFill="1" applyBorder="1" applyAlignment="1" applyProtection="1">
      <alignment horizontal="right" vertical="center"/>
      <protection locked="0"/>
    </xf>
    <xf numFmtId="4" fontId="16" fillId="0" borderId="1250" xfId="6" applyNumberFormat="1" applyFont="1" applyFill="1" applyBorder="1" applyAlignment="1" applyProtection="1">
      <alignment horizontal="right" vertical="center"/>
      <protection locked="0"/>
    </xf>
    <xf numFmtId="3" fontId="8" fillId="6" borderId="1250" xfId="6" applyNumberFormat="1" applyFont="1" applyFill="1" applyBorder="1" applyAlignment="1" applyProtection="1">
      <alignment horizontal="right" vertical="center"/>
      <protection locked="0"/>
    </xf>
    <xf numFmtId="4" fontId="8" fillId="6" borderId="1250" xfId="6" applyNumberFormat="1" applyFont="1" applyFill="1" applyBorder="1" applyAlignment="1" applyProtection="1">
      <alignment horizontal="right" vertical="center"/>
      <protection locked="0"/>
    </xf>
    <xf numFmtId="3" fontId="5" fillId="6" borderId="1250" xfId="6" applyNumberFormat="1" applyFont="1" applyFill="1" applyBorder="1" applyAlignment="1" applyProtection="1">
      <alignment horizontal="right" vertical="center"/>
      <protection locked="0"/>
    </xf>
    <xf numFmtId="4" fontId="5" fillId="6" borderId="1250" xfId="6" applyNumberFormat="1" applyFont="1" applyFill="1" applyBorder="1" applyAlignment="1" applyProtection="1">
      <alignment horizontal="right" vertical="center"/>
      <protection locked="0"/>
    </xf>
    <xf numFmtId="49" fontId="5" fillId="17" borderId="1160" xfId="6" applyNumberFormat="1" applyFont="1" applyFill="1" applyBorder="1" applyAlignment="1" applyProtection="1">
      <alignment horizontal="center" vertical="center" wrapText="1"/>
      <protection locked="0"/>
    </xf>
    <xf numFmtId="0" fontId="8" fillId="14" borderId="1289" xfId="4" applyFont="1" applyFill="1" applyBorder="1" applyAlignment="1">
      <alignment horizontal="center" vertical="center"/>
    </xf>
    <xf numFmtId="3" fontId="8" fillId="14" borderId="1289" xfId="4" applyNumberFormat="1" applyFont="1" applyFill="1" applyBorder="1" applyAlignment="1">
      <alignment horizontal="right" vertical="center"/>
    </xf>
    <xf numFmtId="4" fontId="8" fillId="14" borderId="1289" xfId="4" applyNumberFormat="1" applyFont="1" applyFill="1" applyBorder="1" applyAlignment="1">
      <alignment horizontal="right" vertical="center"/>
    </xf>
    <xf numFmtId="10" fontId="8" fillId="14" borderId="1170" xfId="8" applyNumberFormat="1" applyFont="1" applyFill="1" applyBorder="1" applyAlignment="1">
      <alignment horizontal="right" vertical="center"/>
    </xf>
    <xf numFmtId="0" fontId="8" fillId="3" borderId="1295" xfId="4" applyFont="1" applyFill="1" applyBorder="1" applyAlignment="1">
      <alignment horizontal="center" vertical="center" wrapText="1"/>
    </xf>
    <xf numFmtId="49" fontId="8" fillId="0" borderId="1292" xfId="4" applyNumberFormat="1" applyFont="1" applyBorder="1" applyAlignment="1">
      <alignment horizontal="center" vertical="center" wrapText="1"/>
    </xf>
    <xf numFmtId="3" fontId="105" fillId="0" borderId="1289" xfId="4" applyNumberFormat="1" applyFont="1" applyBorder="1" applyAlignment="1">
      <alignment horizontal="right" vertical="center" wrapText="1"/>
    </xf>
    <xf numFmtId="4" fontId="8" fillId="0" borderId="1289" xfId="4" applyNumberFormat="1" applyFont="1" applyBorder="1" applyAlignment="1">
      <alignment horizontal="right" vertical="center"/>
    </xf>
    <xf numFmtId="4" fontId="8" fillId="0" borderId="1156" xfId="4" applyNumberFormat="1" applyFont="1" applyBorder="1" applyAlignment="1">
      <alignment horizontal="right" vertical="center"/>
    </xf>
    <xf numFmtId="10" fontId="8" fillId="0" borderId="1264" xfId="8" applyNumberFormat="1" applyFont="1" applyBorder="1" applyAlignment="1">
      <alignment horizontal="right" vertical="center"/>
    </xf>
    <xf numFmtId="49" fontId="5" fillId="0" borderId="1289" xfId="4" applyNumberFormat="1" applyFont="1" applyBorder="1" applyAlignment="1">
      <alignment horizontal="center" vertical="center" wrapText="1"/>
    </xf>
    <xf numFmtId="3" fontId="89" fillId="0" borderId="1289" xfId="4" applyNumberFormat="1" applyFont="1" applyBorder="1" applyAlignment="1">
      <alignment horizontal="right" vertical="center" wrapText="1"/>
    </xf>
    <xf numFmtId="4" fontId="5" fillId="0" borderId="1289" xfId="4" applyNumberFormat="1" applyFont="1" applyBorder="1" applyAlignment="1">
      <alignment horizontal="right" vertical="center"/>
    </xf>
    <xf numFmtId="4" fontId="13" fillId="0" borderId="1289" xfId="4" applyNumberFormat="1" applyFont="1" applyBorder="1" applyAlignment="1">
      <alignment horizontal="right" vertical="center"/>
    </xf>
    <xf numFmtId="4" fontId="13" fillId="0" borderId="1156" xfId="4" applyNumberFormat="1" applyFont="1" applyBorder="1" applyAlignment="1">
      <alignment horizontal="right" vertical="center"/>
    </xf>
    <xf numFmtId="10" fontId="5" fillId="0" borderId="1264" xfId="8" applyNumberFormat="1" applyFont="1" applyBorder="1" applyAlignment="1">
      <alignment horizontal="right" vertical="center"/>
    </xf>
    <xf numFmtId="49" fontId="8" fillId="0" borderId="1289" xfId="4" applyNumberFormat="1" applyFont="1" applyBorder="1" applyAlignment="1">
      <alignment horizontal="center" vertical="center" wrapText="1"/>
    </xf>
    <xf numFmtId="49" fontId="89" fillId="0" borderId="1289" xfId="4" applyNumberFormat="1" applyFont="1" applyBorder="1" applyAlignment="1">
      <alignment horizontal="center" vertical="center" wrapText="1"/>
    </xf>
    <xf numFmtId="3" fontId="8" fillId="0" borderId="1292" xfId="4" applyNumberFormat="1" applyFont="1" applyBorder="1" applyAlignment="1">
      <alignment horizontal="right" vertical="center" wrapText="1"/>
    </xf>
    <xf numFmtId="4" fontId="8" fillId="0" borderId="1292" xfId="4" applyNumberFormat="1" applyFont="1" applyBorder="1" applyAlignment="1">
      <alignment horizontal="right" vertical="center"/>
    </xf>
    <xf numFmtId="4" fontId="8" fillId="0" borderId="1274" xfId="4" applyNumberFormat="1" applyFont="1" applyBorder="1" applyAlignment="1">
      <alignment horizontal="right" vertical="center"/>
    </xf>
    <xf numFmtId="10" fontId="8" fillId="0" borderId="1170" xfId="8" applyNumberFormat="1" applyFont="1" applyFill="1" applyBorder="1" applyAlignment="1">
      <alignment horizontal="right" vertical="center"/>
    </xf>
    <xf numFmtId="49" fontId="5" fillId="0" borderId="1292" xfId="4" applyNumberFormat="1" applyFont="1" applyBorder="1" applyAlignment="1">
      <alignment horizontal="center" vertical="center" wrapText="1"/>
    </xf>
    <xf numFmtId="3" fontId="5" fillId="0" borderId="1292" xfId="4" applyNumberFormat="1" applyFont="1" applyBorder="1" applyAlignment="1">
      <alignment horizontal="right" vertical="center" wrapText="1"/>
    </xf>
    <xf numFmtId="4" fontId="5" fillId="0" borderId="1292" xfId="4" applyNumberFormat="1" applyFont="1" applyBorder="1" applyAlignment="1">
      <alignment horizontal="right" vertical="center"/>
    </xf>
    <xf numFmtId="4" fontId="5" fillId="0" borderId="1274" xfId="4" applyNumberFormat="1" applyFont="1" applyBorder="1" applyAlignment="1">
      <alignment horizontal="right" vertical="center"/>
    </xf>
    <xf numFmtId="10" fontId="5" fillId="0" borderId="1170" xfId="8" applyNumberFormat="1" applyFont="1" applyFill="1" applyBorder="1" applyAlignment="1">
      <alignment horizontal="right" vertical="center"/>
    </xf>
    <xf numFmtId="49" fontId="89" fillId="0" borderId="1292" xfId="4" applyNumberFormat="1" applyFont="1" applyBorder="1" applyAlignment="1">
      <alignment horizontal="center" vertical="center" wrapText="1"/>
    </xf>
    <xf numFmtId="3" fontId="89" fillId="0" borderId="1292" xfId="4" applyNumberFormat="1" applyFont="1" applyBorder="1" applyAlignment="1">
      <alignment horizontal="right" vertical="center" wrapText="1"/>
    </xf>
    <xf numFmtId="4" fontId="13" fillId="0" borderId="1292" xfId="4" applyNumberFormat="1" applyFont="1" applyBorder="1" applyAlignment="1">
      <alignment horizontal="right" vertical="center"/>
    </xf>
    <xf numFmtId="4" fontId="13" fillId="0" borderId="1274" xfId="4" applyNumberFormat="1" applyFont="1" applyBorder="1" applyAlignment="1">
      <alignment horizontal="right" vertical="center"/>
    </xf>
    <xf numFmtId="0" fontId="8" fillId="14" borderId="1292" xfId="4" applyFont="1" applyFill="1" applyBorder="1" applyAlignment="1">
      <alignment horizontal="center" vertical="center"/>
    </xf>
    <xf numFmtId="3" fontId="8" fillId="14" borderId="1292" xfId="4" applyNumberFormat="1" applyFont="1" applyFill="1" applyBorder="1" applyAlignment="1">
      <alignment horizontal="right" vertical="center"/>
    </xf>
    <xf numFmtId="4" fontId="8" fillId="14" borderId="1292" xfId="4" applyNumberFormat="1" applyFont="1" applyFill="1" applyBorder="1" applyAlignment="1">
      <alignment horizontal="right" vertical="center"/>
    </xf>
    <xf numFmtId="10" fontId="8" fillId="14" borderId="1264" xfId="8" applyNumberFormat="1" applyFont="1" applyFill="1" applyBorder="1" applyAlignment="1">
      <alignment horizontal="right" vertical="center"/>
    </xf>
    <xf numFmtId="49" fontId="5" fillId="0" borderId="1293" xfId="4" applyNumberFormat="1" applyFont="1" applyBorder="1" applyAlignment="1">
      <alignment horizontal="center" vertical="center" wrapText="1"/>
    </xf>
    <xf numFmtId="3" fontId="5" fillId="0" borderId="1293" xfId="4" applyNumberFormat="1" applyFont="1" applyBorder="1" applyAlignment="1">
      <alignment horizontal="right" vertical="center" wrapText="1"/>
    </xf>
    <xf numFmtId="4" fontId="5" fillId="0" borderId="1293" xfId="4" applyNumberFormat="1" applyFont="1" applyBorder="1" applyAlignment="1">
      <alignment horizontal="right" vertical="center"/>
    </xf>
    <xf numFmtId="4" fontId="5" fillId="0" borderId="1299" xfId="4" applyNumberFormat="1" applyFont="1" applyBorder="1" applyAlignment="1">
      <alignment horizontal="right" vertical="center"/>
    </xf>
    <xf numFmtId="49" fontId="5" fillId="0" borderId="1295" xfId="4" applyNumberFormat="1" applyFont="1" applyBorder="1" applyAlignment="1">
      <alignment horizontal="center" vertical="center" wrapText="1"/>
    </xf>
    <xf numFmtId="3" fontId="5" fillId="0" borderId="1295" xfId="4" applyNumberFormat="1" applyFont="1" applyBorder="1" applyAlignment="1">
      <alignment horizontal="right" vertical="center" wrapText="1"/>
    </xf>
    <xf numFmtId="4" fontId="5" fillId="0" borderId="1295" xfId="4" applyNumberFormat="1" applyFont="1" applyBorder="1" applyAlignment="1">
      <alignment horizontal="right" vertical="center"/>
    </xf>
    <xf numFmtId="4" fontId="8" fillId="0" borderId="1295" xfId="4" applyNumberFormat="1" applyFont="1" applyBorder="1" applyAlignment="1">
      <alignment horizontal="right" vertical="center"/>
    </xf>
    <xf numFmtId="4" fontId="8" fillId="0" borderId="1296" xfId="4" applyNumberFormat="1" applyFont="1" applyBorder="1" applyAlignment="1">
      <alignment horizontal="right" vertical="center"/>
    </xf>
    <xf numFmtId="10" fontId="5" fillId="0" borderId="1297" xfId="8" applyNumberFormat="1" applyFont="1" applyBorder="1" applyAlignment="1">
      <alignment horizontal="right" vertical="center"/>
    </xf>
    <xf numFmtId="0" fontId="8" fillId="14" borderId="53" xfId="4" applyFont="1" applyFill="1" applyBorder="1" applyAlignment="1">
      <alignment horizontal="center" vertical="center"/>
    </xf>
    <xf numFmtId="3" fontId="8" fillId="14" borderId="53" xfId="4" applyNumberFormat="1" applyFont="1" applyFill="1" applyBorder="1" applyAlignment="1">
      <alignment horizontal="right" vertical="center"/>
    </xf>
    <xf numFmtId="4" fontId="8" fillId="14" borderId="53" xfId="4" applyNumberFormat="1" applyFont="1" applyFill="1" applyBorder="1" applyAlignment="1">
      <alignment horizontal="right" vertical="center"/>
    </xf>
    <xf numFmtId="10" fontId="8" fillId="14" borderId="48" xfId="8" applyNumberFormat="1" applyFont="1" applyFill="1" applyBorder="1" applyAlignment="1">
      <alignment horizontal="right" vertical="center"/>
    </xf>
    <xf numFmtId="3" fontId="8" fillId="0" borderId="1289" xfId="4" applyNumberFormat="1" applyFont="1" applyBorder="1" applyAlignment="1">
      <alignment horizontal="right" vertical="center" wrapText="1"/>
    </xf>
    <xf numFmtId="10" fontId="8" fillId="0" borderId="1170" xfId="8" applyNumberFormat="1" applyFont="1" applyBorder="1" applyAlignment="1">
      <alignment horizontal="right" vertical="center"/>
    </xf>
    <xf numFmtId="49" fontId="89" fillId="0" borderId="1293" xfId="4" applyNumberFormat="1" applyFont="1" applyBorder="1" applyAlignment="1">
      <alignment horizontal="center" vertical="center" wrapText="1"/>
    </xf>
    <xf numFmtId="3" fontId="89" fillId="0" borderId="1293" xfId="4" applyNumberFormat="1" applyFont="1" applyBorder="1" applyAlignment="1">
      <alignment horizontal="right" vertical="center" wrapText="1"/>
    </xf>
    <xf numFmtId="4" fontId="13" fillId="0" borderId="1293" xfId="4" applyNumberFormat="1" applyFont="1" applyBorder="1" applyAlignment="1">
      <alignment horizontal="right" vertical="center"/>
    </xf>
    <xf numFmtId="4" fontId="13" fillId="0" borderId="1299" xfId="4" applyNumberFormat="1" applyFont="1" applyBorder="1" applyAlignment="1">
      <alignment horizontal="right" vertical="center"/>
    </xf>
    <xf numFmtId="10" fontId="5" fillId="0" borderId="1301" xfId="8" applyNumberFormat="1" applyFont="1" applyBorder="1" applyAlignment="1">
      <alignment horizontal="right" vertical="center"/>
    </xf>
    <xf numFmtId="49" fontId="105" fillId="0" borderId="1289" xfId="4" applyNumberFormat="1" applyFont="1" applyBorder="1" applyAlignment="1">
      <alignment horizontal="center" vertical="center" wrapText="1"/>
    </xf>
    <xf numFmtId="4" fontId="5" fillId="0" borderId="1156" xfId="4" applyNumberFormat="1" applyFont="1" applyBorder="1" applyAlignment="1">
      <alignment horizontal="right" vertical="center"/>
    </xf>
    <xf numFmtId="4" fontId="8" fillId="14" borderId="1274" xfId="4" applyNumberFormat="1" applyFont="1" applyFill="1" applyBorder="1" applyAlignment="1">
      <alignment horizontal="right" vertical="center"/>
    </xf>
    <xf numFmtId="49" fontId="89" fillId="0" borderId="66" xfId="4" applyNumberFormat="1" applyFont="1" applyBorder="1" applyAlignment="1">
      <alignment horizontal="center" vertical="center" wrapText="1"/>
    </xf>
    <xf numFmtId="3" fontId="89" fillId="0" borderId="66" xfId="4" applyNumberFormat="1" applyFont="1" applyBorder="1" applyAlignment="1">
      <alignment horizontal="right" vertical="center" wrapText="1"/>
    </xf>
    <xf numFmtId="4" fontId="5" fillId="0" borderId="66" xfId="4" applyNumberFormat="1" applyFont="1" applyBorder="1" applyAlignment="1">
      <alignment horizontal="right" vertical="center"/>
    </xf>
    <xf numFmtId="4" fontId="13" fillId="0" borderId="1302" xfId="4" applyNumberFormat="1" applyFont="1" applyBorder="1" applyAlignment="1">
      <alignment horizontal="right" vertical="center"/>
    </xf>
    <xf numFmtId="10" fontId="5" fillId="0" borderId="32" xfId="8" applyNumberFormat="1" applyFont="1" applyFill="1" applyBorder="1" applyAlignment="1">
      <alignment horizontal="right" vertical="center"/>
    </xf>
    <xf numFmtId="0" fontId="9" fillId="11" borderId="1220" xfId="4" applyFont="1" applyFill="1" applyBorder="1" applyAlignment="1">
      <alignment horizontal="center" vertical="center" wrapText="1"/>
    </xf>
    <xf numFmtId="0" fontId="9" fillId="11" borderId="1235" xfId="4" applyFont="1" applyFill="1" applyBorder="1" applyAlignment="1">
      <alignment horizontal="center" vertical="center" wrapText="1"/>
    </xf>
    <xf numFmtId="0" fontId="9" fillId="11" borderId="1234" xfId="4" applyFont="1" applyFill="1" applyBorder="1" applyAlignment="1">
      <alignment horizontal="center" vertical="center" wrapText="1"/>
    </xf>
    <xf numFmtId="0" fontId="9" fillId="11" borderId="1281" xfId="4" applyFont="1" applyFill="1" applyBorder="1" applyAlignment="1">
      <alignment horizontal="center" vertical="center"/>
    </xf>
    <xf numFmtId="49" fontId="9" fillId="10" borderId="1220" xfId="4" applyNumberFormat="1" applyFont="1" applyFill="1" applyBorder="1" applyAlignment="1">
      <alignment horizontal="center" vertical="center"/>
    </xf>
    <xf numFmtId="49" fontId="44" fillId="10" borderId="1281" xfId="4" applyNumberFormat="1" applyFont="1" applyFill="1" applyBorder="1" applyAlignment="1">
      <alignment horizontal="center" vertical="center"/>
    </xf>
    <xf numFmtId="49" fontId="9" fillId="10" borderId="1220" xfId="4" applyNumberFormat="1" applyFont="1" applyFill="1" applyBorder="1" applyAlignment="1">
      <alignment horizontal="left" vertical="center" wrapText="1"/>
    </xf>
    <xf numFmtId="49" fontId="44" fillId="10" borderId="1220" xfId="4" applyNumberFormat="1" applyFont="1" applyFill="1" applyBorder="1" applyAlignment="1">
      <alignment horizontal="center" vertical="center"/>
    </xf>
    <xf numFmtId="3" fontId="9" fillId="10" borderId="1220" xfId="4" applyNumberFormat="1" applyFont="1" applyFill="1" applyBorder="1" applyAlignment="1">
      <alignment horizontal="right" vertical="center" wrapText="1"/>
    </xf>
    <xf numFmtId="4" fontId="9" fillId="10" borderId="1220" xfId="4" applyNumberFormat="1" applyFont="1" applyFill="1" applyBorder="1" applyAlignment="1">
      <alignment horizontal="right" vertical="center" wrapText="1"/>
    </xf>
    <xf numFmtId="0" fontId="44" fillId="10" borderId="1220" xfId="4" applyFont="1" applyFill="1" applyBorder="1" applyAlignment="1">
      <alignment horizontal="left" vertical="center" wrapText="1"/>
    </xf>
    <xf numFmtId="49" fontId="51" fillId="5" borderId="1234" xfId="4" applyNumberFormat="1" applyFont="1" applyFill="1" applyBorder="1" applyAlignment="1">
      <alignment horizontal="center" vertical="center"/>
    </xf>
    <xf numFmtId="49" fontId="51" fillId="5" borderId="1220" xfId="4" applyNumberFormat="1" applyFont="1" applyFill="1" applyBorder="1" applyAlignment="1">
      <alignment horizontal="left" vertical="center" wrapText="1"/>
    </xf>
    <xf numFmtId="49" fontId="51" fillId="5" borderId="1220" xfId="4" applyNumberFormat="1" applyFont="1" applyFill="1" applyBorder="1" applyAlignment="1">
      <alignment horizontal="center" vertical="center"/>
    </xf>
    <xf numFmtId="3" fontId="67" fillId="5" borderId="1220" xfId="4" applyNumberFormat="1" applyFont="1" applyFill="1" applyBorder="1" applyAlignment="1">
      <alignment horizontal="right" vertical="center"/>
    </xf>
    <xf numFmtId="4" fontId="67" fillId="5" borderId="1220" xfId="4" applyNumberFormat="1" applyFont="1" applyFill="1" applyBorder="1" applyAlignment="1">
      <alignment horizontal="right" vertical="center"/>
    </xf>
    <xf numFmtId="4" fontId="67" fillId="5" borderId="1234" xfId="4" applyNumberFormat="1" applyFont="1" applyFill="1" applyBorder="1" applyAlignment="1">
      <alignment horizontal="right" vertical="center"/>
    </xf>
    <xf numFmtId="0" fontId="51" fillId="5" borderId="1220" xfId="4" applyFont="1" applyFill="1" applyBorder="1" applyAlignment="1">
      <alignment horizontal="left" vertical="center" wrapText="1"/>
    </xf>
    <xf numFmtId="49" fontId="44" fillId="6" borderId="162" xfId="4" applyNumberFormat="1" applyFont="1" applyFill="1" applyBorder="1" applyAlignment="1">
      <alignment horizontal="center" vertical="center"/>
    </xf>
    <xf numFmtId="3" fontId="44" fillId="6" borderId="162" xfId="4" applyNumberFormat="1" applyFont="1" applyFill="1" applyBorder="1" applyAlignment="1">
      <alignment horizontal="right" vertical="center" wrapText="1"/>
    </xf>
    <xf numFmtId="4" fontId="44" fillId="6" borderId="1251" xfId="4" applyNumberFormat="1" applyFont="1" applyFill="1" applyBorder="1" applyAlignment="1">
      <alignment horizontal="right" vertical="center" wrapText="1"/>
    </xf>
    <xf numFmtId="4" fontId="44" fillId="6" borderId="162" xfId="4" applyNumberFormat="1" applyFont="1" applyFill="1" applyBorder="1" applyAlignment="1">
      <alignment vertical="center"/>
    </xf>
    <xf numFmtId="4" fontId="44" fillId="6" borderId="162" xfId="4" applyNumberFormat="1" applyFont="1" applyFill="1" applyBorder="1" applyAlignment="1">
      <alignment horizontal="right" vertical="center"/>
    </xf>
    <xf numFmtId="0" fontId="44" fillId="0" borderId="162" xfId="10" applyFont="1" applyBorder="1" applyAlignment="1">
      <alignment vertical="center" wrapText="1"/>
    </xf>
    <xf numFmtId="1" fontId="94" fillId="0" borderId="162" xfId="4" applyNumberFormat="1" applyFont="1" applyBorder="1" applyAlignment="1">
      <alignment horizontal="center" vertical="center"/>
    </xf>
    <xf numFmtId="3" fontId="94" fillId="0" borderId="162" xfId="4" applyNumberFormat="1" applyFont="1" applyBorder="1" applyAlignment="1">
      <alignment horizontal="right" vertical="center"/>
    </xf>
    <xf numFmtId="4" fontId="94" fillId="0" borderId="164" xfId="4" applyNumberFormat="1" applyFont="1" applyBorder="1" applyAlignment="1">
      <alignment horizontal="right" vertical="center"/>
    </xf>
    <xf numFmtId="4" fontId="94" fillId="0" borderId="162" xfId="4" applyNumberFormat="1" applyFont="1" applyBorder="1" applyAlignment="1">
      <alignment horizontal="right" vertical="center"/>
    </xf>
    <xf numFmtId="1" fontId="94" fillId="0" borderId="1240" xfId="4" applyNumberFormat="1" applyFont="1" applyBorder="1" applyAlignment="1">
      <alignment horizontal="center" vertical="center"/>
    </xf>
    <xf numFmtId="3" fontId="94" fillId="0" borderId="1240" xfId="4" applyNumberFormat="1" applyFont="1" applyBorder="1" applyAlignment="1">
      <alignment horizontal="right" vertical="center"/>
    </xf>
    <xf numFmtId="4" fontId="44" fillId="6" borderId="1240" xfId="4" applyNumberFormat="1" applyFont="1" applyFill="1" applyBorder="1" applyAlignment="1">
      <alignment vertical="center"/>
    </xf>
    <xf numFmtId="4" fontId="94" fillId="0" borderId="1245" xfId="4" applyNumberFormat="1" applyFont="1" applyBorder="1" applyAlignment="1">
      <alignment horizontal="right" vertical="center"/>
    </xf>
    <xf numFmtId="4" fontId="94" fillId="0" borderId="1240" xfId="4" applyNumberFormat="1" applyFont="1" applyBorder="1" applyAlignment="1">
      <alignment horizontal="right" vertical="center"/>
    </xf>
    <xf numFmtId="49" fontId="72" fillId="5" borderId="1220" xfId="4" applyNumberFormat="1" applyFont="1" applyFill="1" applyBorder="1" applyAlignment="1">
      <alignment horizontal="center" vertical="center"/>
    </xf>
    <xf numFmtId="49" fontId="72" fillId="5" borderId="199" xfId="4" applyNumberFormat="1" applyFont="1" applyFill="1" applyBorder="1" applyAlignment="1">
      <alignment horizontal="left" vertical="center" wrapText="1"/>
    </xf>
    <xf numFmtId="49" fontId="72" fillId="5" borderId="199" xfId="4" applyNumberFormat="1" applyFont="1" applyFill="1" applyBorder="1" applyAlignment="1">
      <alignment horizontal="center" vertical="center"/>
    </xf>
    <xf numFmtId="3" fontId="50" fillId="5" borderId="199" xfId="4" applyNumberFormat="1" applyFont="1" applyFill="1" applyBorder="1" applyAlignment="1">
      <alignment horizontal="right" vertical="center"/>
    </xf>
    <xf numFmtId="4" fontId="50" fillId="5" borderId="199" xfId="4" applyNumberFormat="1" applyFont="1" applyFill="1" applyBorder="1" applyAlignment="1">
      <alignment horizontal="right" vertical="center"/>
    </xf>
    <xf numFmtId="4" fontId="50" fillId="5" borderId="1220" xfId="4" applyNumberFormat="1" applyFont="1" applyFill="1" applyBorder="1" applyAlignment="1">
      <alignment horizontal="right" vertical="center"/>
    </xf>
    <xf numFmtId="0" fontId="72" fillId="5" borderId="199" xfId="4" applyFont="1" applyFill="1" applyBorder="1" applyAlignment="1">
      <alignment horizontal="left" vertical="center" wrapText="1"/>
    </xf>
    <xf numFmtId="49" fontId="46" fillId="6" borderId="1220" xfId="4" applyNumberFormat="1" applyFont="1" applyFill="1" applyBorder="1" applyAlignment="1">
      <alignment vertical="center"/>
    </xf>
    <xf numFmtId="49" fontId="46" fillId="6" borderId="1220" xfId="4" applyNumberFormat="1" applyFont="1" applyFill="1" applyBorder="1" applyAlignment="1">
      <alignment vertical="center" wrapText="1"/>
    </xf>
    <xf numFmtId="49" fontId="46" fillId="6" borderId="1220" xfId="4" applyNumberFormat="1" applyFont="1" applyFill="1" applyBorder="1" applyAlignment="1">
      <alignment horizontal="center" vertical="center"/>
    </xf>
    <xf numFmtId="3" fontId="46" fillId="6" borderId="1220" xfId="4" applyNumberFormat="1" applyFont="1" applyFill="1" applyBorder="1" applyAlignment="1">
      <alignment horizontal="right" vertical="center" wrapText="1"/>
    </xf>
    <xf numFmtId="4" fontId="46" fillId="6" borderId="1281" xfId="4" applyNumberFormat="1" applyFont="1" applyFill="1" applyBorder="1" applyAlignment="1">
      <alignment horizontal="right" vertical="center" wrapText="1"/>
    </xf>
    <xf numFmtId="3" fontId="73" fillId="6" borderId="1281" xfId="4" applyNumberFormat="1" applyFont="1" applyFill="1" applyBorder="1" applyAlignment="1">
      <alignment horizontal="right" vertical="center"/>
    </xf>
    <xf numFmtId="4" fontId="46" fillId="6" borderId="1281" xfId="4" applyNumberFormat="1" applyFont="1" applyFill="1" applyBorder="1" applyAlignment="1">
      <alignment horizontal="right" vertical="center"/>
    </xf>
    <xf numFmtId="4" fontId="46" fillId="6" borderId="1220" xfId="4" applyNumberFormat="1" applyFont="1" applyFill="1" applyBorder="1" applyAlignment="1">
      <alignment horizontal="right" vertical="center"/>
    </xf>
    <xf numFmtId="0" fontId="46" fillId="0" borderId="1220" xfId="10" applyFont="1" applyBorder="1" applyAlignment="1">
      <alignment vertical="center" wrapText="1"/>
    </xf>
    <xf numFmtId="49" fontId="48" fillId="0" borderId="199" xfId="4" applyNumberFormat="1" applyFont="1" applyBorder="1" applyAlignment="1">
      <alignment vertical="center"/>
    </xf>
    <xf numFmtId="49" fontId="46" fillId="6" borderId="199" xfId="4" applyNumberFormat="1" applyFont="1" applyFill="1" applyBorder="1" applyAlignment="1">
      <alignment vertical="center" wrapText="1"/>
    </xf>
    <xf numFmtId="49" fontId="72" fillId="5" borderId="1234" xfId="4" applyNumberFormat="1" applyFont="1" applyFill="1" applyBorder="1" applyAlignment="1">
      <alignment horizontal="center" vertical="center"/>
    </xf>
    <xf numFmtId="0" fontId="72" fillId="5" borderId="1220" xfId="4" applyFont="1" applyFill="1" applyBorder="1" applyAlignment="1">
      <alignment vertical="center" wrapText="1"/>
    </xf>
    <xf numFmtId="3" fontId="72" fillId="5" borderId="1220" xfId="4" applyNumberFormat="1" applyFont="1" applyFill="1" applyBorder="1" applyAlignment="1">
      <alignment horizontal="right" vertical="center"/>
    </xf>
    <xf numFmtId="4" fontId="72" fillId="5" borderId="1220" xfId="4" applyNumberFormat="1" applyFont="1" applyFill="1" applyBorder="1" applyAlignment="1">
      <alignment horizontal="right" vertical="center"/>
    </xf>
    <xf numFmtId="4" fontId="72" fillId="5" borderId="1234" xfId="4" applyNumberFormat="1" applyFont="1" applyFill="1" applyBorder="1" applyAlignment="1">
      <alignment horizontal="right" vertical="center"/>
    </xf>
    <xf numFmtId="0" fontId="72" fillId="5" borderId="1220" xfId="4" applyFont="1" applyFill="1" applyBorder="1" applyAlignment="1">
      <alignment horizontal="center" vertical="center"/>
    </xf>
    <xf numFmtId="1" fontId="9" fillId="11" borderId="75" xfId="4" applyNumberFormat="1" applyFont="1" applyFill="1" applyBorder="1" applyAlignment="1">
      <alignment horizontal="center" vertical="center"/>
    </xf>
    <xf numFmtId="3" fontId="9" fillId="11" borderId="75" xfId="4" applyNumberFormat="1" applyFont="1" applyFill="1" applyBorder="1" applyAlignment="1">
      <alignment horizontal="right" vertical="center"/>
    </xf>
    <xf numFmtId="4" fontId="9" fillId="11" borderId="75" xfId="4" applyNumberFormat="1" applyFont="1" applyFill="1" applyBorder="1" applyAlignment="1">
      <alignment horizontal="right" vertical="center"/>
    </xf>
    <xf numFmtId="0" fontId="44" fillId="11" borderId="75" xfId="4" applyFont="1" applyFill="1" applyBorder="1" applyAlignment="1">
      <alignment horizontal="left" vertical="center" wrapText="1"/>
    </xf>
    <xf numFmtId="0" fontId="51" fillId="11" borderId="199" xfId="4" applyFont="1" applyFill="1" applyBorder="1" applyAlignment="1">
      <alignment horizontal="center" vertical="center" wrapText="1"/>
    </xf>
    <xf numFmtId="49" fontId="9" fillId="10" borderId="1234" xfId="4" applyNumberFormat="1" applyFont="1" applyFill="1" applyBorder="1" applyAlignment="1">
      <alignment horizontal="center" vertical="center"/>
    </xf>
    <xf numFmtId="0" fontId="94" fillId="10" borderId="1220" xfId="4" applyFont="1" applyFill="1" applyBorder="1" applyAlignment="1">
      <alignment horizontal="center"/>
    </xf>
    <xf numFmtId="0" fontId="9" fillId="10" borderId="1281" xfId="4" applyFont="1" applyFill="1" applyBorder="1" applyAlignment="1">
      <alignment vertical="center" wrapText="1"/>
    </xf>
    <xf numFmtId="3" fontId="9" fillId="10" borderId="1281" xfId="4" applyNumberFormat="1" applyFont="1" applyFill="1" applyBorder="1" applyAlignment="1">
      <alignment horizontal="right" vertical="center" wrapText="1"/>
    </xf>
    <xf numFmtId="4" fontId="9" fillId="10" borderId="1281" xfId="4" applyNumberFormat="1" applyFont="1" applyFill="1" applyBorder="1" applyAlignment="1">
      <alignment horizontal="right" vertical="center" wrapText="1"/>
    </xf>
    <xf numFmtId="0" fontId="48" fillId="10" borderId="1235" xfId="4" applyFont="1" applyFill="1" applyBorder="1" applyAlignment="1">
      <alignment horizontal="left" vertical="center"/>
    </xf>
    <xf numFmtId="0" fontId="67" fillId="5" borderId="1281" xfId="4" applyFont="1" applyFill="1" applyBorder="1" applyAlignment="1">
      <alignment vertical="center" wrapText="1"/>
    </xf>
    <xf numFmtId="3" fontId="67" fillId="5" borderId="1281" xfId="4" applyNumberFormat="1" applyFont="1" applyFill="1" applyBorder="1" applyAlignment="1">
      <alignment horizontal="right" vertical="center"/>
    </xf>
    <xf numFmtId="4" fontId="67" fillId="5" borderId="1281" xfId="4" applyNumberFormat="1" applyFont="1" applyFill="1" applyBorder="1" applyAlignment="1">
      <alignment horizontal="right" vertical="center"/>
    </xf>
    <xf numFmtId="0" fontId="55" fillId="5" borderId="1235" xfId="4" applyFont="1" applyFill="1" applyBorder="1" applyAlignment="1">
      <alignment horizontal="left" vertical="center"/>
    </xf>
    <xf numFmtId="3" fontId="44" fillId="6" borderId="168" xfId="4" applyNumberFormat="1" applyFont="1" applyFill="1" applyBorder="1" applyAlignment="1">
      <alignment horizontal="right" vertical="center" wrapText="1"/>
    </xf>
    <xf numFmtId="4" fontId="44" fillId="6" borderId="168" xfId="4" applyNumberFormat="1" applyFont="1" applyFill="1" applyBorder="1" applyAlignment="1">
      <alignment horizontal="right" vertical="center"/>
    </xf>
    <xf numFmtId="0" fontId="44" fillId="6" borderId="1198" xfId="4" applyFont="1" applyFill="1" applyBorder="1" applyAlignment="1">
      <alignment horizontal="left" vertical="center" wrapText="1"/>
    </xf>
    <xf numFmtId="1" fontId="44" fillId="6" borderId="1240" xfId="4" applyNumberFormat="1" applyFont="1" applyFill="1" applyBorder="1" applyAlignment="1">
      <alignment horizontal="center" vertical="center"/>
    </xf>
    <xf numFmtId="3" fontId="44" fillId="6" borderId="1272" xfId="4" applyNumberFormat="1" applyFont="1" applyFill="1" applyBorder="1" applyAlignment="1">
      <alignment horizontal="right" vertical="center" wrapText="1"/>
    </xf>
    <xf numFmtId="4" fontId="44" fillId="6" borderId="1272" xfId="4" applyNumberFormat="1" applyFont="1" applyFill="1" applyBorder="1" applyAlignment="1">
      <alignment horizontal="right" vertical="center"/>
    </xf>
    <xf numFmtId="4" fontId="44" fillId="6" borderId="1240" xfId="4" applyNumberFormat="1" applyFont="1" applyFill="1" applyBorder="1" applyAlignment="1">
      <alignment horizontal="right" vertical="center"/>
    </xf>
    <xf numFmtId="0" fontId="44" fillId="6" borderId="1303" xfId="4" applyFont="1" applyFill="1" applyBorder="1" applyAlignment="1">
      <alignment horizontal="left" vertical="center" wrapText="1"/>
    </xf>
    <xf numFmtId="0" fontId="44" fillId="6" borderId="1304" xfId="4" applyFont="1" applyFill="1" applyBorder="1" applyAlignment="1">
      <alignment horizontal="left" vertical="center" wrapText="1"/>
    </xf>
    <xf numFmtId="1" fontId="44" fillId="6" borderId="1305" xfId="4" applyNumberFormat="1" applyFont="1" applyFill="1" applyBorder="1" applyAlignment="1">
      <alignment horizontal="center" vertical="center"/>
    </xf>
    <xf numFmtId="4" fontId="44" fillId="6" borderId="1305" xfId="4" applyNumberFormat="1" applyFont="1" applyFill="1" applyBorder="1" applyAlignment="1">
      <alignment horizontal="right" vertical="center"/>
    </xf>
    <xf numFmtId="49" fontId="49" fillId="10" borderId="1220" xfId="4" applyNumberFormat="1" applyFont="1" applyFill="1" applyBorder="1" applyAlignment="1">
      <alignment horizontal="center" vertical="center"/>
    </xf>
    <xf numFmtId="49" fontId="9" fillId="10" borderId="1281" xfId="4" applyNumberFormat="1" applyFont="1" applyFill="1" applyBorder="1" applyAlignment="1">
      <alignment horizontal="left" vertical="center" wrapText="1"/>
    </xf>
    <xf numFmtId="1" fontId="49" fillId="10" borderId="1220" xfId="4" applyNumberFormat="1" applyFont="1" applyFill="1" applyBorder="1" applyAlignment="1">
      <alignment horizontal="center" vertical="center"/>
    </xf>
    <xf numFmtId="0" fontId="44" fillId="10" borderId="1235" xfId="4" applyFont="1" applyFill="1" applyBorder="1" applyAlignment="1">
      <alignment horizontal="left" vertical="center" wrapText="1"/>
    </xf>
    <xf numFmtId="49" fontId="9" fillId="0" borderId="199" xfId="4" applyNumberFormat="1" applyFont="1" applyBorder="1" applyAlignment="1">
      <alignment vertical="center"/>
    </xf>
    <xf numFmtId="49" fontId="51" fillId="5" borderId="1281" xfId="4" applyNumberFormat="1" applyFont="1" applyFill="1" applyBorder="1" applyAlignment="1">
      <alignment horizontal="left" vertical="center" wrapText="1"/>
    </xf>
    <xf numFmtId="1" fontId="51" fillId="5" borderId="1220" xfId="4" applyNumberFormat="1" applyFont="1" applyFill="1" applyBorder="1" applyAlignment="1">
      <alignment horizontal="center" vertical="center"/>
    </xf>
    <xf numFmtId="4" fontId="51" fillId="5" borderId="1220" xfId="4" applyNumberFormat="1" applyFont="1" applyFill="1" applyBorder="1" applyAlignment="1">
      <alignment vertical="center"/>
    </xf>
    <xf numFmtId="4" fontId="51" fillId="5" borderId="1281" xfId="4" applyNumberFormat="1" applyFont="1" applyFill="1" applyBorder="1" applyAlignment="1">
      <alignment vertical="center"/>
    </xf>
    <xf numFmtId="0" fontId="9" fillId="5" borderId="1235" xfId="4" applyFont="1" applyFill="1" applyBorder="1" applyAlignment="1">
      <alignment horizontal="left" vertical="center" wrapText="1"/>
    </xf>
    <xf numFmtId="3" fontId="94" fillId="6" borderId="0" xfId="4" applyNumberFormat="1" applyFont="1" applyFill="1" applyAlignment="1">
      <alignment horizontal="right" vertical="center"/>
    </xf>
    <xf numFmtId="4" fontId="44" fillId="6" borderId="0" xfId="4" applyNumberFormat="1" applyFont="1" applyFill="1" applyAlignment="1">
      <alignment vertical="center"/>
    </xf>
    <xf numFmtId="49" fontId="9" fillId="5" borderId="1220" xfId="4" applyNumberFormat="1" applyFont="1" applyFill="1" applyBorder="1" applyAlignment="1">
      <alignment horizontal="left" vertical="center" wrapText="1"/>
    </xf>
    <xf numFmtId="1" fontId="9" fillId="5" borderId="1220" xfId="4" applyNumberFormat="1" applyFont="1" applyFill="1" applyBorder="1" applyAlignment="1">
      <alignment horizontal="center" vertical="center"/>
    </xf>
    <xf numFmtId="3" fontId="68" fillId="5" borderId="1234" xfId="4" applyNumberFormat="1" applyFont="1" applyFill="1" applyBorder="1" applyAlignment="1">
      <alignment horizontal="right" vertical="center"/>
    </xf>
    <xf numFmtId="4" fontId="68" fillId="5" borderId="1234" xfId="4" applyNumberFormat="1" applyFont="1" applyFill="1" applyBorder="1" applyAlignment="1">
      <alignment horizontal="right" vertical="center"/>
    </xf>
    <xf numFmtId="4" fontId="68" fillId="5" borderId="1220" xfId="4" applyNumberFormat="1" applyFont="1" applyFill="1" applyBorder="1" applyAlignment="1">
      <alignment horizontal="right" vertical="center"/>
    </xf>
    <xf numFmtId="49" fontId="44" fillId="0" borderId="199" xfId="4" applyNumberFormat="1" applyFont="1" applyBorder="1" applyAlignment="1">
      <alignment vertical="center"/>
    </xf>
    <xf numFmtId="49" fontId="44" fillId="0" borderId="199" xfId="4" applyNumberFormat="1" applyFont="1" applyBorder="1" applyAlignment="1">
      <alignment vertical="center" wrapText="1"/>
    </xf>
    <xf numFmtId="1" fontId="44" fillId="0" borderId="199" xfId="4" applyNumberFormat="1" applyFont="1" applyBorder="1" applyAlignment="1">
      <alignment horizontal="center" vertical="center"/>
    </xf>
    <xf numFmtId="4" fontId="94" fillId="0" borderId="199" xfId="4" applyNumberFormat="1" applyFont="1" applyBorder="1" applyAlignment="1">
      <alignment horizontal="right" vertical="center"/>
    </xf>
    <xf numFmtId="4" fontId="94" fillId="0" borderId="161" xfId="4" applyNumberFormat="1" applyFont="1" applyBorder="1" applyAlignment="1">
      <alignment horizontal="right" vertical="center"/>
    </xf>
    <xf numFmtId="1" fontId="44" fillId="0" borderId="1305" xfId="4" applyNumberFormat="1" applyFont="1" applyBorder="1" applyAlignment="1">
      <alignment horizontal="center" vertical="center"/>
    </xf>
    <xf numFmtId="3" fontId="94" fillId="0" borderId="1306" xfId="4" applyNumberFormat="1" applyFont="1" applyBorder="1" applyAlignment="1">
      <alignment horizontal="right" vertical="center"/>
    </xf>
    <xf numFmtId="4" fontId="94" fillId="0" borderId="1305" xfId="4" applyNumberFormat="1" applyFont="1" applyBorder="1" applyAlignment="1">
      <alignment horizontal="right" vertical="center"/>
    </xf>
    <xf numFmtId="4" fontId="94" fillId="0" borderId="1272" xfId="4" applyNumberFormat="1" applyFont="1" applyBorder="1" applyAlignment="1">
      <alignment horizontal="right" vertical="center"/>
    </xf>
    <xf numFmtId="4" fontId="44" fillId="6" borderId="1305" xfId="4" applyNumberFormat="1" applyFont="1" applyFill="1" applyBorder="1" applyAlignment="1">
      <alignment vertical="center"/>
    </xf>
    <xf numFmtId="4" fontId="94" fillId="0" borderId="118" xfId="4" applyNumberFormat="1" applyFont="1" applyBorder="1" applyAlignment="1">
      <alignment horizontal="right" vertical="center"/>
    </xf>
    <xf numFmtId="49" fontId="52" fillId="0" borderId="14" xfId="4" applyNumberFormat="1" applyFont="1" applyBorder="1" applyAlignment="1">
      <alignment vertical="center"/>
    </xf>
    <xf numFmtId="3" fontId="94" fillId="6" borderId="168" xfId="4" applyNumberFormat="1" applyFont="1" applyFill="1" applyBorder="1" applyAlignment="1">
      <alignment horizontal="right" vertical="center"/>
    </xf>
    <xf numFmtId="0" fontId="44" fillId="0" borderId="1303" xfId="4" applyFont="1" applyBorder="1" applyAlignment="1">
      <alignment horizontal="left" vertical="center" wrapText="1"/>
    </xf>
    <xf numFmtId="0" fontId="48" fillId="5" borderId="1235" xfId="4" applyFont="1" applyFill="1" applyBorder="1" applyAlignment="1">
      <alignment horizontal="left" vertical="center" wrapText="1"/>
    </xf>
    <xf numFmtId="49" fontId="52" fillId="0" borderId="199" xfId="4" applyNumberFormat="1" applyFont="1" applyBorder="1" applyAlignment="1">
      <alignment horizontal="center" vertical="center"/>
    </xf>
    <xf numFmtId="49" fontId="52" fillId="0" borderId="199" xfId="4" applyNumberFormat="1" applyFont="1" applyBorder="1" applyAlignment="1">
      <alignment horizontal="left" vertical="center" wrapText="1"/>
    </xf>
    <xf numFmtId="3" fontId="94" fillId="0" borderId="1251" xfId="4" applyNumberFormat="1" applyFont="1" applyBorder="1" applyAlignment="1">
      <alignment horizontal="right" vertical="center"/>
    </xf>
    <xf numFmtId="4" fontId="44" fillId="0" borderId="162" xfId="4" applyNumberFormat="1" applyFont="1" applyBorder="1" applyAlignment="1">
      <alignment vertical="center"/>
    </xf>
    <xf numFmtId="0" fontId="44" fillId="0" borderId="1198" xfId="4" applyFont="1" applyBorder="1" applyAlignment="1">
      <alignment horizontal="left" vertical="center" wrapText="1"/>
    </xf>
    <xf numFmtId="49" fontId="52" fillId="0" borderId="0" xfId="4" applyNumberFormat="1" applyFont="1" applyAlignment="1">
      <alignment horizontal="left" vertical="center" wrapText="1"/>
    </xf>
    <xf numFmtId="3" fontId="94" fillId="0" borderId="168" xfId="4" applyNumberFormat="1" applyFont="1" applyBorder="1" applyAlignment="1">
      <alignment horizontal="right" vertical="center"/>
    </xf>
    <xf numFmtId="49" fontId="52" fillId="0" borderId="7" xfId="4" applyNumberFormat="1" applyFont="1" applyBorder="1" applyAlignment="1">
      <alignment vertical="center"/>
    </xf>
    <xf numFmtId="49" fontId="52" fillId="0" borderId="7" xfId="4" applyNumberFormat="1" applyFont="1" applyBorder="1" applyAlignment="1">
      <alignment vertical="center" wrapText="1"/>
    </xf>
    <xf numFmtId="0" fontId="45" fillId="6" borderId="10" xfId="4" applyFont="1" applyFill="1" applyBorder="1" applyAlignment="1">
      <alignment horizontal="left" vertical="center" wrapText="1"/>
    </xf>
    <xf numFmtId="4" fontId="44" fillId="0" borderId="168" xfId="4" applyNumberFormat="1" applyFont="1" applyBorder="1" applyAlignment="1">
      <alignment horizontal="right" vertical="center" wrapText="1"/>
    </xf>
    <xf numFmtId="49" fontId="52" fillId="0" borderId="199" xfId="4" applyNumberFormat="1" applyFont="1" applyBorder="1" applyAlignment="1">
      <alignment vertical="center"/>
    </xf>
    <xf numFmtId="49" fontId="52" fillId="0" borderId="199" xfId="4" applyNumberFormat="1" applyFont="1" applyBorder="1" applyAlignment="1">
      <alignment vertical="center" wrapText="1"/>
    </xf>
    <xf numFmtId="3" fontId="94" fillId="6" borderId="1251" xfId="4" applyNumberFormat="1" applyFont="1" applyFill="1" applyBorder="1" applyAlignment="1">
      <alignment horizontal="right" vertical="center"/>
    </xf>
    <xf numFmtId="4" fontId="7" fillId="0" borderId="162" xfId="4" applyNumberFormat="1" applyFont="1" applyBorder="1" applyAlignment="1">
      <alignment vertical="center"/>
    </xf>
    <xf numFmtId="3" fontId="94" fillId="6" borderId="1306" xfId="4" applyNumberFormat="1" applyFont="1" applyFill="1" applyBorder="1" applyAlignment="1">
      <alignment horizontal="right" vertical="center"/>
    </xf>
    <xf numFmtId="4" fontId="44" fillId="6" borderId="1272" xfId="4" applyNumberFormat="1" applyFont="1" applyFill="1" applyBorder="1" applyAlignment="1">
      <alignment vertical="center"/>
    </xf>
    <xf numFmtId="0" fontId="44" fillId="6" borderId="1305" xfId="4" applyFont="1" applyFill="1" applyBorder="1" applyAlignment="1">
      <alignment horizontal="left" vertical="center" wrapText="1"/>
    </xf>
    <xf numFmtId="3" fontId="94" fillId="6" borderId="1307" xfId="4" applyNumberFormat="1" applyFont="1" applyFill="1" applyBorder="1" applyAlignment="1">
      <alignment horizontal="right" vertical="center"/>
    </xf>
    <xf numFmtId="4" fontId="44" fillId="6" borderId="1307" xfId="4" applyNumberFormat="1" applyFont="1" applyFill="1" applyBorder="1" applyAlignment="1">
      <alignment vertical="center"/>
    </xf>
    <xf numFmtId="0" fontId="44" fillId="6" borderId="1308" xfId="4" applyFont="1" applyFill="1" applyBorder="1" applyAlignment="1">
      <alignment horizontal="left" vertical="center" wrapText="1"/>
    </xf>
    <xf numFmtId="3" fontId="51" fillId="5" borderId="1281" xfId="4" applyNumberFormat="1" applyFont="1" applyFill="1" applyBorder="1" applyAlignment="1">
      <alignment horizontal="right" vertical="center" wrapText="1"/>
    </xf>
    <xf numFmtId="4" fontId="51" fillId="5" borderId="1220" xfId="4" applyNumberFormat="1" applyFont="1" applyFill="1" applyBorder="1" applyAlignment="1">
      <alignment horizontal="right" vertical="center" wrapText="1"/>
    </xf>
    <xf numFmtId="49" fontId="45" fillId="0" borderId="1220" xfId="4" applyNumberFormat="1" applyFont="1" applyBorder="1" applyAlignment="1">
      <alignment horizontal="center" vertical="center"/>
    </xf>
    <xf numFmtId="49" fontId="45" fillId="0" borderId="1281" xfId="4" applyNumberFormat="1" applyFont="1" applyBorder="1" applyAlignment="1">
      <alignment horizontal="left" vertical="center" wrapText="1"/>
    </xf>
    <xf numFmtId="1" fontId="44" fillId="0" borderId="1220" xfId="4" applyNumberFormat="1" applyFont="1" applyBorder="1" applyAlignment="1">
      <alignment horizontal="center" vertical="center"/>
    </xf>
    <xf numFmtId="3" fontId="44" fillId="0" borderId="1234" xfId="4" applyNumberFormat="1" applyFont="1" applyBorder="1" applyAlignment="1">
      <alignment horizontal="right" vertical="center" wrapText="1"/>
    </xf>
    <xf numFmtId="4" fontId="44" fillId="6" borderId="1220" xfId="4" applyNumberFormat="1" applyFont="1" applyFill="1" applyBorder="1" applyAlignment="1">
      <alignment vertical="center"/>
    </xf>
    <xf numFmtId="4" fontId="44" fillId="0" borderId="1281" xfId="4" applyNumberFormat="1" applyFont="1" applyBorder="1" applyAlignment="1">
      <alignment horizontal="right" vertical="center" wrapText="1"/>
    </xf>
    <xf numFmtId="4" fontId="44" fillId="0" borderId="1220" xfId="4" applyNumberFormat="1" applyFont="1" applyBorder="1" applyAlignment="1">
      <alignment horizontal="right" vertical="center" wrapText="1"/>
    </xf>
    <xf numFmtId="0" fontId="44" fillId="6" borderId="1220" xfId="4" applyFont="1" applyFill="1" applyBorder="1" applyAlignment="1">
      <alignment horizontal="left" vertical="center" wrapText="1"/>
    </xf>
    <xf numFmtId="49" fontId="44" fillId="0" borderId="199" xfId="4" applyNumberFormat="1" applyFont="1" applyBorder="1" applyAlignment="1">
      <alignment horizontal="center" vertical="center"/>
    </xf>
    <xf numFmtId="49" fontId="44" fillId="0" borderId="161" xfId="4" applyNumberFormat="1" applyFont="1" applyBorder="1" applyAlignment="1">
      <alignment horizontal="left" vertical="center" wrapText="1"/>
    </xf>
    <xf numFmtId="3" fontId="44" fillId="0" borderId="164" xfId="4" applyNumberFormat="1" applyFont="1" applyBorder="1" applyAlignment="1">
      <alignment horizontal="right" vertical="center" wrapText="1"/>
    </xf>
    <xf numFmtId="4" fontId="44" fillId="0" borderId="1251" xfId="4" applyNumberFormat="1" applyFont="1" applyBorder="1" applyAlignment="1">
      <alignment horizontal="right" vertical="center" wrapText="1"/>
    </xf>
    <xf numFmtId="4" fontId="44" fillId="0" borderId="162" xfId="4" applyNumberFormat="1" applyFont="1" applyBorder="1" applyAlignment="1">
      <alignment horizontal="right" vertical="center" wrapText="1"/>
    </xf>
    <xf numFmtId="0" fontId="44" fillId="6" borderId="162" xfId="4" applyFont="1" applyFill="1" applyBorder="1" applyAlignment="1">
      <alignment horizontal="left" vertical="center" wrapText="1"/>
    </xf>
    <xf numFmtId="49" fontId="44" fillId="0" borderId="0" xfId="4" applyNumberFormat="1" applyFont="1" applyAlignment="1">
      <alignment horizontal="left" vertical="center" wrapText="1"/>
    </xf>
    <xf numFmtId="3" fontId="44" fillId="0" borderId="168" xfId="4" applyNumberFormat="1" applyFont="1" applyBorder="1" applyAlignment="1">
      <alignment horizontal="right" vertical="center" wrapText="1"/>
    </xf>
    <xf numFmtId="3" fontId="44" fillId="0" borderId="1306" xfId="4" applyNumberFormat="1" applyFont="1" applyBorder="1" applyAlignment="1">
      <alignment horizontal="right" vertical="center" wrapText="1"/>
    </xf>
    <xf numFmtId="4" fontId="44" fillId="6" borderId="1250" xfId="4" applyNumberFormat="1" applyFont="1" applyFill="1" applyBorder="1" applyAlignment="1">
      <alignment vertical="center"/>
    </xf>
    <xf numFmtId="4" fontId="44" fillId="0" borderId="1272" xfId="4" applyNumberFormat="1" applyFont="1" applyBorder="1" applyAlignment="1">
      <alignment horizontal="right" vertical="center" wrapText="1"/>
    </xf>
    <xf numFmtId="4" fontId="44" fillId="0" borderId="1250" xfId="4" applyNumberFormat="1" applyFont="1" applyBorder="1" applyAlignment="1">
      <alignment horizontal="right" vertical="center" wrapText="1"/>
    </xf>
    <xf numFmtId="3" fontId="94" fillId="6" borderId="1141" xfId="4" applyNumberFormat="1" applyFont="1" applyFill="1" applyBorder="1" applyAlignment="1">
      <alignment horizontal="right" vertical="center"/>
    </xf>
    <xf numFmtId="4" fontId="44" fillId="6" borderId="168" xfId="4" applyNumberFormat="1" applyFont="1" applyFill="1" applyBorder="1" applyAlignment="1">
      <alignment vertical="center"/>
    </xf>
    <xf numFmtId="49" fontId="9" fillId="5" borderId="1281" xfId="4" applyNumberFormat="1" applyFont="1" applyFill="1" applyBorder="1" applyAlignment="1">
      <alignment vertical="center" wrapText="1"/>
    </xf>
    <xf numFmtId="0" fontId="9" fillId="5" borderId="1220" xfId="4" applyFont="1" applyFill="1" applyBorder="1" applyAlignment="1">
      <alignment horizontal="left" vertical="center" wrapText="1"/>
    </xf>
    <xf numFmtId="49" fontId="49" fillId="6" borderId="199" xfId="4" applyNumberFormat="1" applyFont="1" applyFill="1" applyBorder="1" applyAlignment="1">
      <alignment vertical="center"/>
    </xf>
    <xf numFmtId="49" fontId="44" fillId="6" borderId="199" xfId="4" applyNumberFormat="1" applyFont="1" applyFill="1" applyBorder="1" applyAlignment="1">
      <alignment vertical="center" wrapText="1"/>
    </xf>
    <xf numFmtId="4" fontId="44" fillId="6" borderId="1251" xfId="4" applyNumberFormat="1" applyFont="1" applyFill="1" applyBorder="1" applyAlignment="1">
      <alignment vertical="center"/>
    </xf>
    <xf numFmtId="0" fontId="96" fillId="0" borderId="1198" xfId="4" applyFont="1" applyBorder="1" applyAlignment="1">
      <alignment horizontal="left" vertical="center" wrapText="1"/>
    </xf>
    <xf numFmtId="0" fontId="96" fillId="0" borderId="1303" xfId="4" applyFont="1" applyBorder="1" applyAlignment="1">
      <alignment horizontal="left" vertical="center" wrapText="1"/>
    </xf>
    <xf numFmtId="0" fontId="96" fillId="0" borderId="10" xfId="4" applyFont="1" applyBorder="1" applyAlignment="1">
      <alignment horizontal="left" vertical="center" wrapText="1"/>
    </xf>
    <xf numFmtId="49" fontId="48" fillId="0" borderId="199" xfId="4" applyNumberFormat="1" applyFont="1" applyBorder="1" applyAlignment="1">
      <alignment vertical="top"/>
    </xf>
    <xf numFmtId="49" fontId="51" fillId="5" borderId="199" xfId="4" applyNumberFormat="1" applyFont="1" applyFill="1" applyBorder="1" applyAlignment="1">
      <alignment horizontal="center" vertical="center"/>
    </xf>
    <xf numFmtId="49" fontId="51" fillId="5" borderId="161" xfId="4" applyNumberFormat="1" applyFont="1" applyFill="1" applyBorder="1" applyAlignment="1">
      <alignment horizontal="left" vertical="center" wrapText="1"/>
    </xf>
    <xf numFmtId="1" fontId="51" fillId="5" borderId="199" xfId="4" applyNumberFormat="1" applyFont="1" applyFill="1" applyBorder="1" applyAlignment="1">
      <alignment horizontal="center" vertical="center"/>
    </xf>
    <xf numFmtId="3" fontId="67" fillId="5" borderId="161" xfId="4" applyNumberFormat="1" applyFont="1" applyFill="1" applyBorder="1" applyAlignment="1">
      <alignment horizontal="right" vertical="center"/>
    </xf>
    <xf numFmtId="4" fontId="67" fillId="5" borderId="199" xfId="4" applyNumberFormat="1" applyFont="1" applyFill="1" applyBorder="1" applyAlignment="1">
      <alignment horizontal="right" vertical="center"/>
    </xf>
    <xf numFmtId="4" fontId="51" fillId="5" borderId="161" xfId="4" applyNumberFormat="1" applyFont="1" applyFill="1" applyBorder="1" applyAlignment="1">
      <alignment vertical="center"/>
    </xf>
    <xf numFmtId="4" fontId="51" fillId="5" borderId="199" xfId="4" applyNumberFormat="1" applyFont="1" applyFill="1" applyBorder="1" applyAlignment="1">
      <alignment vertical="center"/>
    </xf>
    <xf numFmtId="0" fontId="48" fillId="5" borderId="198" xfId="4" applyFont="1" applyFill="1" applyBorder="1" applyAlignment="1">
      <alignment horizontal="left" vertical="center" wrapText="1"/>
    </xf>
    <xf numFmtId="49" fontId="54" fillId="6" borderId="199" xfId="4" applyNumberFormat="1" applyFont="1" applyFill="1" applyBorder="1" applyAlignment="1">
      <alignment vertical="center"/>
    </xf>
    <xf numFmtId="49" fontId="54" fillId="6" borderId="199" xfId="4" applyNumberFormat="1" applyFont="1" applyFill="1" applyBorder="1" applyAlignment="1">
      <alignment vertical="center" wrapText="1"/>
    </xf>
    <xf numFmtId="49" fontId="48" fillId="0" borderId="7" xfId="4" applyNumberFormat="1" applyFont="1" applyBorder="1" applyAlignment="1">
      <alignment vertical="top"/>
    </xf>
    <xf numFmtId="49" fontId="54" fillId="6" borderId="7" xfId="4" applyNumberFormat="1" applyFont="1" applyFill="1" applyBorder="1" applyAlignment="1">
      <alignment vertical="center"/>
    </xf>
    <xf numFmtId="49" fontId="54" fillId="6" borderId="7" xfId="4" applyNumberFormat="1" applyFont="1" applyFill="1" applyBorder="1" applyAlignment="1">
      <alignment vertical="center" wrapText="1"/>
    </xf>
    <xf numFmtId="3" fontId="94" fillId="6" borderId="164" xfId="4" applyNumberFormat="1" applyFont="1" applyFill="1" applyBorder="1" applyAlignment="1">
      <alignment horizontal="center" vertical="center"/>
    </xf>
    <xf numFmtId="4" fontId="44" fillId="6" borderId="1251" xfId="4" applyNumberFormat="1" applyFont="1" applyFill="1" applyBorder="1" applyAlignment="1">
      <alignment horizontal="right" vertical="center"/>
    </xf>
    <xf numFmtId="4" fontId="44" fillId="6" borderId="1250" xfId="4" applyNumberFormat="1" applyFont="1" applyFill="1" applyBorder="1" applyAlignment="1">
      <alignment horizontal="right" vertical="center"/>
    </xf>
    <xf numFmtId="49" fontId="51" fillId="0" borderId="1220" xfId="4" applyNumberFormat="1" applyFont="1" applyBorder="1" applyAlignment="1">
      <alignment horizontal="center" vertical="center"/>
    </xf>
    <xf numFmtId="49" fontId="51" fillId="0" borderId="1220" xfId="4" applyNumberFormat="1" applyFont="1" applyBorder="1" applyAlignment="1">
      <alignment horizontal="center" vertical="center" wrapText="1"/>
    </xf>
    <xf numFmtId="3" fontId="94" fillId="0" borderId="1281" xfId="4" applyNumberFormat="1" applyFont="1" applyBorder="1" applyAlignment="1">
      <alignment horizontal="right" vertical="center"/>
    </xf>
    <xf numFmtId="4" fontId="94" fillId="0" borderId="1281" xfId="4" applyNumberFormat="1" applyFont="1" applyBorder="1" applyAlignment="1">
      <alignment horizontal="right" vertical="center"/>
    </xf>
    <xf numFmtId="4" fontId="94" fillId="0" borderId="1220" xfId="4" applyNumberFormat="1" applyFont="1" applyBorder="1" applyAlignment="1">
      <alignment horizontal="right" vertical="center"/>
    </xf>
    <xf numFmtId="0" fontId="44" fillId="0" borderId="1235" xfId="4" applyFont="1" applyBorder="1" applyAlignment="1">
      <alignment horizontal="left" vertical="top" wrapText="1"/>
    </xf>
    <xf numFmtId="3" fontId="94" fillId="6" borderId="1278" xfId="4" applyNumberFormat="1" applyFont="1" applyFill="1" applyBorder="1" applyAlignment="1">
      <alignment horizontal="center" vertical="center"/>
    </xf>
    <xf numFmtId="4" fontId="44" fillId="6" borderId="1271" xfId="4" applyNumberFormat="1" applyFont="1" applyFill="1" applyBorder="1" applyAlignment="1">
      <alignment vertical="center"/>
    </xf>
    <xf numFmtId="4" fontId="44" fillId="6" borderId="1309" xfId="4" applyNumberFormat="1" applyFont="1" applyFill="1" applyBorder="1" applyAlignment="1">
      <alignment horizontal="right" vertical="center"/>
    </xf>
    <xf numFmtId="4" fontId="44" fillId="6" borderId="1271" xfId="4" applyNumberFormat="1" applyFont="1" applyFill="1" applyBorder="1" applyAlignment="1">
      <alignment horizontal="right" vertical="center"/>
    </xf>
    <xf numFmtId="0" fontId="44" fillId="6" borderId="14" xfId="4" applyFont="1" applyFill="1" applyBorder="1" applyAlignment="1">
      <alignment horizontal="left" vertical="top" wrapText="1"/>
    </xf>
    <xf numFmtId="49" fontId="47" fillId="0" borderId="25" xfId="4" applyNumberFormat="1" applyFont="1" applyBorder="1" applyAlignment="1">
      <alignment vertical="center"/>
    </xf>
    <xf numFmtId="49" fontId="47" fillId="10" borderId="1234" xfId="4" applyNumberFormat="1" applyFont="1" applyFill="1" applyBorder="1" applyAlignment="1">
      <alignment horizontal="center" vertical="center"/>
    </xf>
    <xf numFmtId="49" fontId="71" fillId="10" borderId="1220" xfId="4" applyNumberFormat="1" applyFont="1" applyFill="1" applyBorder="1" applyAlignment="1">
      <alignment horizontal="center" vertical="center"/>
    </xf>
    <xf numFmtId="49" fontId="47" fillId="10" borderId="1281" xfId="4" applyNumberFormat="1" applyFont="1" applyFill="1" applyBorder="1" applyAlignment="1">
      <alignment horizontal="left" vertical="center" wrapText="1"/>
    </xf>
    <xf numFmtId="1" fontId="71" fillId="10" borderId="1220" xfId="4" applyNumberFormat="1" applyFont="1" applyFill="1" applyBorder="1" applyAlignment="1">
      <alignment horizontal="center" vertical="center"/>
    </xf>
    <xf numFmtId="3" fontId="47" fillId="10" borderId="1220" xfId="4" applyNumberFormat="1" applyFont="1" applyFill="1" applyBorder="1" applyAlignment="1">
      <alignment horizontal="right" vertical="center" wrapText="1"/>
    </xf>
    <xf numFmtId="0" fontId="46" fillId="10" borderId="1220" xfId="4" applyFont="1" applyFill="1" applyBorder="1" applyAlignment="1">
      <alignment horizontal="left" vertical="center" wrapText="1"/>
    </xf>
    <xf numFmtId="3" fontId="50" fillId="5" borderId="1220" xfId="4" applyNumberFormat="1" applyFont="1" applyFill="1" applyBorder="1" applyAlignment="1">
      <alignment horizontal="right" vertical="center"/>
    </xf>
    <xf numFmtId="3" fontId="46" fillId="6" borderId="1251" xfId="4" applyNumberFormat="1" applyFont="1" applyFill="1" applyBorder="1" applyAlignment="1">
      <alignment horizontal="right" vertical="center" wrapText="1"/>
    </xf>
    <xf numFmtId="4" fontId="46" fillId="6" borderId="1251" xfId="4" applyNumberFormat="1" applyFont="1" applyFill="1" applyBorder="1" applyAlignment="1">
      <alignment horizontal="right" vertical="center"/>
    </xf>
    <xf numFmtId="4" fontId="46" fillId="6" borderId="162" xfId="4" applyNumberFormat="1" applyFont="1" applyFill="1" applyBorder="1" applyAlignment="1">
      <alignment horizontal="right" vertical="center"/>
    </xf>
    <xf numFmtId="0" fontId="46" fillId="0" borderId="162" xfId="5" applyFont="1" applyBorder="1" applyAlignment="1">
      <alignment horizontal="left" vertical="center" wrapText="1"/>
    </xf>
    <xf numFmtId="1" fontId="94" fillId="10" borderId="1220" xfId="4" applyNumberFormat="1" applyFont="1" applyFill="1" applyBorder="1" applyAlignment="1">
      <alignment horizontal="center"/>
    </xf>
    <xf numFmtId="0" fontId="48" fillId="10" borderId="1220" xfId="4" applyFont="1" applyFill="1" applyBorder="1" applyAlignment="1">
      <alignment horizontal="left" vertical="center"/>
    </xf>
    <xf numFmtId="0" fontId="51" fillId="5" borderId="1281" xfId="4" applyFont="1" applyFill="1" applyBorder="1" applyAlignment="1">
      <alignment vertical="center" wrapText="1"/>
    </xf>
    <xf numFmtId="1" fontId="67" fillId="5" borderId="1220" xfId="4" applyNumberFormat="1" applyFont="1" applyFill="1" applyBorder="1"/>
    <xf numFmtId="4" fontId="51" fillId="5" borderId="1220" xfId="4" applyNumberFormat="1" applyFont="1" applyFill="1" applyBorder="1" applyAlignment="1">
      <alignment vertical="center" wrapText="1"/>
    </xf>
    <xf numFmtId="4" fontId="51" fillId="5" borderId="1281" xfId="4" applyNumberFormat="1" applyFont="1" applyFill="1" applyBorder="1" applyAlignment="1">
      <alignment horizontal="right" vertical="center" wrapText="1"/>
    </xf>
    <xf numFmtId="0" fontId="52" fillId="5" borderId="1220" xfId="4" applyFont="1" applyFill="1" applyBorder="1" applyAlignment="1">
      <alignment horizontal="left" vertical="center"/>
    </xf>
    <xf numFmtId="49" fontId="44" fillId="6" borderId="199" xfId="4" applyNumberFormat="1" applyFont="1" applyFill="1" applyBorder="1" applyAlignment="1">
      <alignment vertical="center"/>
    </xf>
    <xf numFmtId="0" fontId="44" fillId="0" borderId="1303" xfId="10" applyFont="1" applyBorder="1" applyAlignment="1">
      <alignment horizontal="left" vertical="top" wrapText="1"/>
    </xf>
    <xf numFmtId="0" fontId="51" fillId="0" borderId="199" xfId="4" applyFont="1" applyBorder="1" applyAlignment="1">
      <alignment horizontal="center" vertical="center"/>
    </xf>
    <xf numFmtId="0" fontId="51" fillId="0" borderId="199" xfId="4" applyFont="1" applyBorder="1" applyAlignment="1">
      <alignment horizontal="center" vertical="center" wrapText="1"/>
    </xf>
    <xf numFmtId="1" fontId="44" fillId="0" borderId="162" xfId="4" applyNumberFormat="1" applyFont="1" applyBorder="1" applyAlignment="1">
      <alignment horizontal="center" vertical="center"/>
    </xf>
    <xf numFmtId="0" fontId="9" fillId="10" borderId="1235" xfId="4" applyFont="1" applyFill="1" applyBorder="1" applyAlignment="1">
      <alignment horizontal="left" vertical="center"/>
    </xf>
    <xf numFmtId="0" fontId="51" fillId="5" borderId="1235" xfId="10" applyFont="1" applyFill="1" applyBorder="1" applyAlignment="1">
      <alignment horizontal="left" vertical="center"/>
    </xf>
    <xf numFmtId="49" fontId="44" fillId="6" borderId="0" xfId="4" applyNumberFormat="1" applyFont="1" applyFill="1" applyAlignment="1">
      <alignment horizontal="left" vertical="center" wrapText="1"/>
    </xf>
    <xf numFmtId="1" fontId="44" fillId="6" borderId="162" xfId="4" applyNumberFormat="1" applyFont="1" applyFill="1" applyBorder="1" applyAlignment="1">
      <alignment horizontal="center" vertical="center"/>
    </xf>
    <xf numFmtId="3" fontId="44" fillId="6" borderId="1251" xfId="4" applyNumberFormat="1" applyFont="1" applyFill="1" applyBorder="1" applyAlignment="1">
      <alignment horizontal="right" vertical="center" wrapText="1"/>
    </xf>
    <xf numFmtId="4" fontId="44" fillId="6" borderId="162" xfId="4" applyNumberFormat="1" applyFont="1" applyFill="1" applyBorder="1" applyAlignment="1">
      <alignment horizontal="right" vertical="center" wrapText="1"/>
    </xf>
    <xf numFmtId="0" fontId="51" fillId="5" borderId="1220" xfId="10" applyFont="1" applyFill="1" applyBorder="1" applyAlignment="1">
      <alignment horizontal="left" vertical="center"/>
    </xf>
    <xf numFmtId="1" fontId="44" fillId="0" borderId="109" xfId="4" applyNumberFormat="1" applyFont="1" applyBorder="1" applyAlignment="1">
      <alignment horizontal="center" vertical="center"/>
    </xf>
    <xf numFmtId="0" fontId="44" fillId="0" borderId="1303" xfId="4" applyFont="1" applyBorder="1" applyAlignment="1">
      <alignment horizontal="left" vertical="top" wrapText="1"/>
    </xf>
    <xf numFmtId="1" fontId="44" fillId="6" borderId="118" xfId="4" applyNumberFormat="1" applyFont="1" applyFill="1" applyBorder="1" applyAlignment="1">
      <alignment horizontal="center" vertical="center"/>
    </xf>
    <xf numFmtId="3" fontId="44" fillId="6" borderId="1310" xfId="4" applyNumberFormat="1" applyFont="1" applyFill="1" applyBorder="1" applyAlignment="1">
      <alignment horizontal="right" vertical="center" wrapText="1"/>
    </xf>
    <xf numFmtId="4" fontId="44" fillId="6" borderId="118" xfId="4" applyNumberFormat="1" applyFont="1" applyFill="1" applyBorder="1" applyAlignment="1">
      <alignment horizontal="right" vertical="center" wrapText="1"/>
    </xf>
    <xf numFmtId="4" fontId="44" fillId="6" borderId="1307" xfId="4" applyNumberFormat="1" applyFont="1" applyFill="1" applyBorder="1" applyAlignment="1">
      <alignment horizontal="right" vertical="center" wrapText="1"/>
    </xf>
    <xf numFmtId="49" fontId="47" fillId="0" borderId="199" xfId="4" applyNumberFormat="1" applyFont="1" applyBorder="1" applyAlignment="1">
      <alignment vertical="center"/>
    </xf>
    <xf numFmtId="0" fontId="72" fillId="5" borderId="1281" xfId="4" applyFont="1" applyFill="1" applyBorder="1" applyAlignment="1">
      <alignment vertical="center" wrapText="1"/>
    </xf>
    <xf numFmtId="1" fontId="72" fillId="5" borderId="1220" xfId="4" applyNumberFormat="1" applyFont="1" applyFill="1" applyBorder="1" applyAlignment="1">
      <alignment horizontal="center" vertical="center"/>
    </xf>
    <xf numFmtId="3" fontId="50" fillId="5" borderId="1234" xfId="4" applyNumberFormat="1" applyFont="1" applyFill="1" applyBorder="1" applyAlignment="1">
      <alignment horizontal="right" vertical="center"/>
    </xf>
    <xf numFmtId="4" fontId="72" fillId="5" borderId="1220" xfId="4" applyNumberFormat="1" applyFont="1" applyFill="1" applyBorder="1" applyAlignment="1">
      <alignment vertical="center"/>
    </xf>
    <xf numFmtId="4" fontId="72" fillId="5" borderId="1234" xfId="4" applyNumberFormat="1" applyFont="1" applyFill="1" applyBorder="1" applyAlignment="1">
      <alignment horizontal="right" vertical="center" wrapText="1"/>
    </xf>
    <xf numFmtId="4" fontId="72" fillId="5" borderId="1220" xfId="4" applyNumberFormat="1" applyFont="1" applyFill="1" applyBorder="1" applyAlignment="1">
      <alignment horizontal="right" vertical="center" wrapText="1"/>
    </xf>
    <xf numFmtId="0" fontId="72" fillId="5" borderId="1235" xfId="5" applyFont="1" applyFill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49" fontId="71" fillId="0" borderId="1220" xfId="4" applyNumberFormat="1" applyFont="1" applyBorder="1" applyAlignment="1">
      <alignment horizontal="center" vertical="center"/>
    </xf>
    <xf numFmtId="2" fontId="56" fillId="6" borderId="1220" xfId="4" applyNumberFormat="1" applyFont="1" applyFill="1" applyBorder="1" applyAlignment="1">
      <alignment vertical="center" wrapText="1"/>
    </xf>
    <xf numFmtId="3" fontId="73" fillId="6" borderId="8" xfId="4" applyNumberFormat="1" applyFont="1" applyFill="1" applyBorder="1" applyAlignment="1">
      <alignment horizontal="right" vertical="center"/>
    </xf>
    <xf numFmtId="0" fontId="47" fillId="0" borderId="7" xfId="4" applyFont="1" applyBorder="1" applyAlignment="1">
      <alignment vertical="center" wrapText="1"/>
    </xf>
    <xf numFmtId="0" fontId="46" fillId="0" borderId="14" xfId="4" applyFont="1" applyBorder="1" applyAlignment="1">
      <alignment vertical="center"/>
    </xf>
    <xf numFmtId="0" fontId="46" fillId="0" borderId="199" xfId="4" applyFont="1" applyBorder="1" applyAlignment="1">
      <alignment horizontal="center" vertical="center"/>
    </xf>
    <xf numFmtId="1" fontId="46" fillId="0" borderId="14" xfId="4" applyNumberFormat="1" applyFont="1" applyBorder="1" applyAlignment="1">
      <alignment horizontal="center" vertical="center"/>
    </xf>
    <xf numFmtId="3" fontId="46" fillId="0" borderId="14" xfId="4" applyNumberFormat="1" applyFont="1" applyBorder="1" applyAlignment="1">
      <alignment horizontal="center" vertical="center" wrapText="1"/>
    </xf>
    <xf numFmtId="4" fontId="46" fillId="0" borderId="14" xfId="4" applyNumberFormat="1" applyFont="1" applyBorder="1" applyAlignment="1">
      <alignment horizontal="center" vertical="center" wrapText="1"/>
    </xf>
    <xf numFmtId="0" fontId="46" fillId="0" borderId="7" xfId="0" applyFont="1" applyBorder="1" applyAlignment="1">
      <alignment horizontal="justify" vertical="center" wrapText="1"/>
    </xf>
    <xf numFmtId="1" fontId="46" fillId="0" borderId="199" xfId="4" applyNumberFormat="1" applyFont="1" applyBorder="1" applyAlignment="1">
      <alignment horizontal="center" vertical="center"/>
    </xf>
    <xf numFmtId="4" fontId="46" fillId="0" borderId="199" xfId="4" applyNumberFormat="1" applyFont="1" applyBorder="1" applyAlignment="1">
      <alignment horizontal="right" vertical="center" wrapText="1"/>
    </xf>
    <xf numFmtId="0" fontId="1" fillId="0" borderId="199" xfId="0" applyFont="1" applyBorder="1" applyAlignment="1">
      <alignment vertical="center"/>
    </xf>
    <xf numFmtId="0" fontId="72" fillId="5" borderId="199" xfId="4" applyFont="1" applyFill="1" applyBorder="1" applyAlignment="1">
      <alignment horizontal="center" vertical="center"/>
    </xf>
    <xf numFmtId="0" fontId="72" fillId="5" borderId="161" xfId="4" applyFont="1" applyFill="1" applyBorder="1" applyAlignment="1">
      <alignment vertical="center" wrapText="1"/>
    </xf>
    <xf numFmtId="1" fontId="72" fillId="5" borderId="199" xfId="4" applyNumberFormat="1" applyFont="1" applyFill="1" applyBorder="1" applyAlignment="1">
      <alignment horizontal="center" vertical="center"/>
    </xf>
    <xf numFmtId="3" fontId="72" fillId="5" borderId="4" xfId="4" applyNumberFormat="1" applyFont="1" applyFill="1" applyBorder="1" applyAlignment="1">
      <alignment horizontal="right" vertical="center" wrapText="1"/>
    </xf>
    <xf numFmtId="4" fontId="72" fillId="5" borderId="199" xfId="4" applyNumberFormat="1" applyFont="1" applyFill="1" applyBorder="1" applyAlignment="1">
      <alignment horizontal="right" vertical="center" wrapText="1"/>
    </xf>
    <xf numFmtId="4" fontId="72" fillId="5" borderId="4" xfId="4" applyNumberFormat="1" applyFont="1" applyFill="1" applyBorder="1" applyAlignment="1">
      <alignment horizontal="right" vertical="center" wrapText="1"/>
    </xf>
    <xf numFmtId="0" fontId="72" fillId="5" borderId="198" xfId="4" applyFont="1" applyFill="1" applyBorder="1" applyAlignment="1">
      <alignment horizontal="left" vertical="center"/>
    </xf>
    <xf numFmtId="0" fontId="47" fillId="0" borderId="199" xfId="4" applyFont="1" applyBorder="1" applyAlignment="1">
      <alignment vertical="center" wrapText="1"/>
    </xf>
    <xf numFmtId="0" fontId="50" fillId="5" borderId="1234" xfId="4" applyFont="1" applyFill="1" applyBorder="1" applyAlignment="1">
      <alignment vertical="center" wrapText="1"/>
    </xf>
    <xf numFmtId="4" fontId="50" fillId="5" borderId="1281" xfId="4" applyNumberFormat="1" applyFont="1" applyFill="1" applyBorder="1" applyAlignment="1">
      <alignment horizontal="right" vertical="center"/>
    </xf>
    <xf numFmtId="49" fontId="72" fillId="0" borderId="199" xfId="4" applyNumberFormat="1" applyFont="1" applyBorder="1" applyAlignment="1">
      <alignment horizontal="center" vertical="center"/>
    </xf>
    <xf numFmtId="0" fontId="50" fillId="0" borderId="0" xfId="4" applyFont="1" applyAlignment="1">
      <alignment vertical="center" wrapText="1"/>
    </xf>
    <xf numFmtId="3" fontId="73" fillId="0" borderId="161" xfId="4" applyNumberFormat="1" applyFont="1" applyBorder="1" applyAlignment="1">
      <alignment horizontal="right" vertical="center"/>
    </xf>
    <xf numFmtId="4" fontId="46" fillId="6" borderId="199" xfId="4" applyNumberFormat="1" applyFont="1" applyFill="1" applyBorder="1" applyAlignment="1">
      <alignment vertical="center"/>
    </xf>
    <xf numFmtId="0" fontId="46" fillId="0" borderId="198" xfId="5" applyFont="1" applyBorder="1" applyAlignment="1">
      <alignment horizontal="left" vertical="center" wrapText="1"/>
    </xf>
    <xf numFmtId="3" fontId="50" fillId="5" borderId="1235" xfId="4" applyNumberFormat="1" applyFont="1" applyFill="1" applyBorder="1" applyAlignment="1">
      <alignment horizontal="right" vertical="center"/>
    </xf>
    <xf numFmtId="3" fontId="73" fillId="6" borderId="1251" xfId="4" applyNumberFormat="1" applyFont="1" applyFill="1" applyBorder="1" applyAlignment="1">
      <alignment horizontal="right" vertical="center"/>
    </xf>
    <xf numFmtId="0" fontId="46" fillId="0" borderId="1198" xfId="5" applyFont="1" applyBorder="1" applyAlignment="1">
      <alignment horizontal="left" vertical="top" wrapText="1"/>
    </xf>
    <xf numFmtId="1" fontId="47" fillId="5" borderId="1220" xfId="4" applyNumberFormat="1" applyFont="1" applyFill="1" applyBorder="1" applyAlignment="1">
      <alignment horizontal="center"/>
    </xf>
    <xf numFmtId="3" fontId="72" fillId="5" borderId="1281" xfId="4" applyNumberFormat="1" applyFont="1" applyFill="1" applyBorder="1" applyAlignment="1">
      <alignment horizontal="right" vertical="center" wrapText="1"/>
    </xf>
    <xf numFmtId="0" fontId="47" fillId="5" borderId="1235" xfId="4" applyFont="1" applyFill="1" applyBorder="1" applyAlignment="1">
      <alignment horizontal="left" vertical="center" wrapText="1"/>
    </xf>
    <xf numFmtId="0" fontId="71" fillId="0" borderId="199" xfId="4" applyFont="1" applyBorder="1" applyAlignment="1">
      <alignment vertical="center"/>
    </xf>
    <xf numFmtId="0" fontId="67" fillId="5" borderId="1220" xfId="4" applyFont="1" applyFill="1" applyBorder="1" applyAlignment="1">
      <alignment horizontal="center" vertical="center"/>
    </xf>
    <xf numFmtId="1" fontId="67" fillId="5" borderId="1220" xfId="4" applyNumberFormat="1" applyFont="1" applyFill="1" applyBorder="1" applyAlignment="1">
      <alignment horizontal="center" vertical="center"/>
    </xf>
    <xf numFmtId="3" fontId="51" fillId="5" borderId="1234" xfId="4" applyNumberFormat="1" applyFont="1" applyFill="1" applyBorder="1" applyAlignment="1">
      <alignment horizontal="right" vertical="center" wrapText="1"/>
    </xf>
    <xf numFmtId="4" fontId="51" fillId="5" borderId="1234" xfId="4" applyNumberFormat="1" applyFont="1" applyFill="1" applyBorder="1" applyAlignment="1">
      <alignment horizontal="right" vertical="center" wrapText="1"/>
    </xf>
    <xf numFmtId="0" fontId="51" fillId="5" borderId="1235" xfId="4" applyFont="1" applyFill="1" applyBorder="1" applyAlignment="1">
      <alignment horizontal="left" vertical="center" wrapText="1"/>
    </xf>
    <xf numFmtId="4" fontId="44" fillId="0" borderId="199" xfId="4" applyNumberFormat="1" applyFont="1" applyBorder="1" applyAlignment="1">
      <alignment horizontal="right" vertical="center" wrapText="1"/>
    </xf>
    <xf numFmtId="0" fontId="44" fillId="0" borderId="198" xfId="4" applyFont="1" applyBorder="1" applyAlignment="1">
      <alignment horizontal="left" vertical="top" wrapText="1"/>
    </xf>
    <xf numFmtId="1" fontId="94" fillId="0" borderId="118" xfId="4" applyNumberFormat="1" applyFont="1" applyBorder="1" applyAlignment="1">
      <alignment horizontal="center" vertical="center"/>
    </xf>
    <xf numFmtId="3" fontId="44" fillId="0" borderId="1310" xfId="4" applyNumberFormat="1" applyFont="1" applyBorder="1" applyAlignment="1">
      <alignment horizontal="right" vertical="center" wrapText="1"/>
    </xf>
    <xf numFmtId="4" fontId="44" fillId="0" borderId="118" xfId="4" applyNumberFormat="1" applyFont="1" applyBorder="1" applyAlignment="1">
      <alignment horizontal="right" vertical="center" wrapText="1"/>
    </xf>
    <xf numFmtId="4" fontId="44" fillId="0" borderId="1310" xfId="4" applyNumberFormat="1" applyFont="1" applyBorder="1" applyAlignment="1">
      <alignment horizontal="right" vertical="center" wrapText="1"/>
    </xf>
    <xf numFmtId="0" fontId="44" fillId="0" borderId="1308" xfId="4" applyFont="1" applyBorder="1" applyAlignment="1">
      <alignment horizontal="left" vertical="center" wrapText="1"/>
    </xf>
    <xf numFmtId="3" fontId="67" fillId="5" borderId="1234" xfId="4" applyNumberFormat="1" applyFont="1" applyFill="1" applyBorder="1" applyAlignment="1">
      <alignment horizontal="right" vertical="center"/>
    </xf>
    <xf numFmtId="49" fontId="51" fillId="0" borderId="1220" xfId="4" applyNumberFormat="1" applyFont="1" applyBorder="1" applyAlignment="1">
      <alignment vertical="center"/>
    </xf>
    <xf numFmtId="0" fontId="67" fillId="0" borderId="1220" xfId="4" applyFont="1" applyBorder="1" applyAlignment="1">
      <alignment vertical="center" wrapText="1"/>
    </xf>
    <xf numFmtId="4" fontId="44" fillId="0" borderId="1220" xfId="4" applyNumberFormat="1" applyFont="1" applyBorder="1" applyAlignment="1">
      <alignment vertical="center"/>
    </xf>
    <xf numFmtId="4" fontId="44" fillId="0" borderId="1234" xfId="4" applyNumberFormat="1" applyFont="1" applyBorder="1" applyAlignment="1">
      <alignment horizontal="right" vertical="center" wrapText="1"/>
    </xf>
    <xf numFmtId="0" fontId="44" fillId="0" borderId="1235" xfId="5" applyFont="1" applyBorder="1" applyAlignment="1">
      <alignment horizontal="left" vertical="center" wrapText="1"/>
    </xf>
    <xf numFmtId="1" fontId="9" fillId="10" borderId="1220" xfId="4" applyNumberFormat="1" applyFont="1" applyFill="1" applyBorder="1" applyAlignment="1">
      <alignment horizontal="center" vertical="center"/>
    </xf>
    <xf numFmtId="0" fontId="48" fillId="10" borderId="1220" xfId="4" applyFont="1" applyFill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top" wrapText="1"/>
    </xf>
    <xf numFmtId="0" fontId="46" fillId="0" borderId="199" xfId="4" applyFont="1" applyBorder="1" applyAlignment="1">
      <alignment vertical="top" wrapText="1"/>
    </xf>
    <xf numFmtId="0" fontId="46" fillId="0" borderId="7" xfId="4" applyFont="1" applyBorder="1" applyAlignment="1">
      <alignment horizontal="center" vertical="center"/>
    </xf>
    <xf numFmtId="3" fontId="46" fillId="0" borderId="7" xfId="4" applyNumberFormat="1" applyFont="1" applyBorder="1" applyAlignment="1">
      <alignment horizontal="right" vertical="center" wrapText="1"/>
    </xf>
    <xf numFmtId="0" fontId="46" fillId="0" borderId="14" xfId="4" applyFont="1" applyBorder="1" applyAlignment="1">
      <alignment horizontal="center" vertical="center"/>
    </xf>
    <xf numFmtId="0" fontId="47" fillId="0" borderId="14" xfId="4" applyFont="1" applyBorder="1" applyAlignment="1">
      <alignment vertical="center" wrapText="1"/>
    </xf>
    <xf numFmtId="1" fontId="46" fillId="0" borderId="109" xfId="4" applyNumberFormat="1" applyFont="1" applyBorder="1" applyAlignment="1">
      <alignment horizontal="center" vertical="center"/>
    </xf>
    <xf numFmtId="3" fontId="46" fillId="0" borderId="1141" xfId="4" applyNumberFormat="1" applyFont="1" applyBorder="1" applyAlignment="1">
      <alignment horizontal="right" vertical="center" wrapText="1"/>
    </xf>
    <xf numFmtId="4" fontId="46" fillId="0" borderId="109" xfId="4" applyNumberFormat="1" applyFont="1" applyBorder="1" applyAlignment="1">
      <alignment horizontal="right" vertical="center" wrapText="1"/>
    </xf>
    <xf numFmtId="4" fontId="46" fillId="0" borderId="1141" xfId="4" applyNumberFormat="1" applyFont="1" applyBorder="1" applyAlignment="1">
      <alignment horizontal="right" vertical="center" wrapText="1"/>
    </xf>
    <xf numFmtId="0" fontId="46" fillId="0" borderId="7" xfId="4" applyFont="1" applyBorder="1" applyAlignment="1">
      <alignment vertical="top" wrapText="1"/>
    </xf>
    <xf numFmtId="0" fontId="106" fillId="0" borderId="0" xfId="14" applyFont="1"/>
    <xf numFmtId="49" fontId="9" fillId="6" borderId="14" xfId="4" applyNumberFormat="1" applyFont="1" applyFill="1" applyBorder="1" applyAlignment="1">
      <alignment horizontal="center" vertical="center"/>
    </xf>
    <xf numFmtId="49" fontId="48" fillId="0" borderId="4" xfId="4" applyNumberFormat="1" applyFont="1" applyBorder="1" applyAlignment="1">
      <alignment vertical="center"/>
    </xf>
    <xf numFmtId="3" fontId="9" fillId="3" borderId="109" xfId="4" applyNumberFormat="1" applyFont="1" applyFill="1" applyBorder="1" applyAlignment="1">
      <alignment horizontal="right" vertical="center"/>
    </xf>
    <xf numFmtId="4" fontId="9" fillId="3" borderId="168" xfId="4" applyNumberFormat="1" applyFont="1" applyFill="1" applyBorder="1" applyAlignment="1">
      <alignment horizontal="right" vertical="center"/>
    </xf>
    <xf numFmtId="3" fontId="9" fillId="3" borderId="168" xfId="4" applyNumberFormat="1" applyFont="1" applyFill="1" applyBorder="1" applyAlignment="1">
      <alignment horizontal="right" vertical="center"/>
    </xf>
    <xf numFmtId="4" fontId="9" fillId="3" borderId="109" xfId="4" applyNumberFormat="1" applyFont="1" applyFill="1" applyBorder="1" applyAlignment="1">
      <alignment vertical="center" wrapText="1"/>
    </xf>
    <xf numFmtId="49" fontId="9" fillId="4" borderId="1234" xfId="4" applyNumberFormat="1" applyFont="1" applyFill="1" applyBorder="1" applyAlignment="1">
      <alignment horizontal="center" vertical="center"/>
    </xf>
    <xf numFmtId="49" fontId="9" fillId="4" borderId="1220" xfId="4" applyNumberFormat="1" applyFont="1" applyFill="1" applyBorder="1" applyAlignment="1">
      <alignment horizontal="center" vertical="center"/>
    </xf>
    <xf numFmtId="49" fontId="9" fillId="4" borderId="1220" xfId="4" applyNumberFormat="1" applyFont="1" applyFill="1" applyBorder="1" applyAlignment="1">
      <alignment horizontal="left" vertical="center" wrapText="1"/>
    </xf>
    <xf numFmtId="49" fontId="9" fillId="4" borderId="1281" xfId="4" applyNumberFormat="1" applyFont="1" applyFill="1" applyBorder="1" applyAlignment="1">
      <alignment horizontal="center" vertical="center"/>
    </xf>
    <xf numFmtId="3" fontId="9" fillId="4" borderId="1220" xfId="4" applyNumberFormat="1" applyFont="1" applyFill="1" applyBorder="1" applyAlignment="1">
      <alignment horizontal="right" vertical="center" wrapText="1"/>
    </xf>
    <xf numFmtId="4" fontId="9" fillId="4" borderId="1281" xfId="4" applyNumberFormat="1" applyFont="1" applyFill="1" applyBorder="1" applyAlignment="1">
      <alignment horizontal="right" vertical="center" wrapText="1"/>
    </xf>
    <xf numFmtId="3" fontId="9" fillId="4" borderId="1281" xfId="4" applyNumberFormat="1" applyFont="1" applyFill="1" applyBorder="1" applyAlignment="1">
      <alignment horizontal="right" vertical="center" wrapText="1"/>
    </xf>
    <xf numFmtId="4" fontId="9" fillId="4" borderId="1220" xfId="4" applyNumberFormat="1" applyFont="1" applyFill="1" applyBorder="1" applyAlignment="1">
      <alignment horizontal="right" vertical="center" wrapText="1"/>
    </xf>
    <xf numFmtId="0" fontId="45" fillId="6" borderId="199" xfId="4" applyFont="1" applyFill="1" applyBorder="1" applyAlignment="1">
      <alignment vertical="center" wrapText="1"/>
    </xf>
    <xf numFmtId="4" fontId="9" fillId="3" borderId="109" xfId="4" applyNumberFormat="1" applyFont="1" applyFill="1" applyBorder="1" applyAlignment="1">
      <alignment horizontal="right" vertical="center"/>
    </xf>
    <xf numFmtId="49" fontId="45" fillId="6" borderId="1271" xfId="4" applyNumberFormat="1" applyFont="1" applyFill="1" applyBorder="1" applyAlignment="1">
      <alignment vertical="center"/>
    </xf>
    <xf numFmtId="49" fontId="44" fillId="6" borderId="1272" xfId="4" applyNumberFormat="1" applyFont="1" applyFill="1" applyBorder="1" applyAlignment="1">
      <alignment horizontal="center" vertical="center"/>
    </xf>
    <xf numFmtId="3" fontId="44" fillId="6" borderId="1250" xfId="4" applyNumberFormat="1" applyFont="1" applyFill="1" applyBorder="1" applyAlignment="1">
      <alignment horizontal="right" vertical="center" wrapText="1"/>
    </xf>
    <xf numFmtId="3" fontId="44" fillId="6" borderId="1309" xfId="4" applyNumberFormat="1" applyFont="1" applyFill="1" applyBorder="1" applyAlignment="1">
      <alignment horizontal="right" vertical="center" wrapText="1"/>
    </xf>
    <xf numFmtId="4" fontId="44" fillId="6" borderId="0" xfId="4" applyNumberFormat="1" applyFont="1" applyFill="1" applyAlignment="1">
      <alignment horizontal="right" vertical="center"/>
    </xf>
    <xf numFmtId="49" fontId="44" fillId="6" borderId="1250" xfId="4" applyNumberFormat="1" applyFont="1" applyFill="1" applyBorder="1" applyAlignment="1">
      <alignment horizontal="center" vertical="center"/>
    </xf>
    <xf numFmtId="4" fontId="44" fillId="6" borderId="1272" xfId="4" applyNumberFormat="1" applyFont="1" applyFill="1" applyBorder="1" applyAlignment="1">
      <alignment horizontal="right" vertical="center" wrapText="1"/>
    </xf>
    <xf numFmtId="49" fontId="9" fillId="3" borderId="1250" xfId="4" applyNumberFormat="1" applyFont="1" applyFill="1" applyBorder="1" applyAlignment="1">
      <alignment horizontal="center" vertical="center"/>
    </xf>
    <xf numFmtId="0" fontId="9" fillId="3" borderId="1250" xfId="4" applyFont="1" applyFill="1" applyBorder="1" applyAlignment="1">
      <alignment vertical="center" wrapText="1"/>
    </xf>
    <xf numFmtId="49" fontId="9" fillId="3" borderId="1272" xfId="4" applyNumberFormat="1" applyFont="1" applyFill="1" applyBorder="1" applyAlignment="1">
      <alignment horizontal="center" vertical="center"/>
    </xf>
    <xf numFmtId="3" fontId="9" fillId="3" borderId="1250" xfId="4" applyNumberFormat="1" applyFont="1" applyFill="1" applyBorder="1" applyAlignment="1">
      <alignment horizontal="right" vertical="center"/>
    </xf>
    <xf numFmtId="4" fontId="9" fillId="3" borderId="1272" xfId="4" applyNumberFormat="1" applyFont="1" applyFill="1" applyBorder="1" applyAlignment="1">
      <alignment horizontal="right" vertical="center"/>
    </xf>
    <xf numFmtId="3" fontId="9" fillId="3" borderId="1272" xfId="4" applyNumberFormat="1" applyFont="1" applyFill="1" applyBorder="1" applyAlignment="1">
      <alignment horizontal="right" vertical="center"/>
    </xf>
    <xf numFmtId="4" fontId="9" fillId="3" borderId="1250" xfId="4" applyNumberFormat="1" applyFont="1" applyFill="1" applyBorder="1" applyAlignment="1">
      <alignment horizontal="right" vertical="center"/>
    </xf>
    <xf numFmtId="49" fontId="48" fillId="0" borderId="8" xfId="4" applyNumberFormat="1" applyFont="1" applyBorder="1" applyAlignment="1">
      <alignment vertical="center"/>
    </xf>
    <xf numFmtId="3" fontId="44" fillId="6" borderId="118" xfId="4" applyNumberFormat="1" applyFont="1" applyFill="1" applyBorder="1" applyAlignment="1">
      <alignment horizontal="right" vertical="center" wrapText="1"/>
    </xf>
    <xf numFmtId="3" fontId="44" fillId="6" borderId="1307" xfId="4" applyNumberFormat="1" applyFont="1" applyFill="1" applyBorder="1" applyAlignment="1">
      <alignment horizontal="right" vertical="center" wrapText="1"/>
    </xf>
    <xf numFmtId="49" fontId="9" fillId="3" borderId="162" xfId="4" applyNumberFormat="1" applyFont="1" applyFill="1" applyBorder="1" applyAlignment="1">
      <alignment horizontal="center" vertical="center"/>
    </xf>
    <xf numFmtId="0" fontId="9" fillId="3" borderId="162" xfId="4" applyFont="1" applyFill="1" applyBorder="1" applyAlignment="1">
      <alignment vertical="center" wrapText="1"/>
    </xf>
    <xf numFmtId="49" fontId="9" fillId="3" borderId="1251" xfId="4" applyNumberFormat="1" applyFont="1" applyFill="1" applyBorder="1" applyAlignment="1">
      <alignment horizontal="center" vertical="center"/>
    </xf>
    <xf numFmtId="3" fontId="9" fillId="3" borderId="162" xfId="4" applyNumberFormat="1" applyFont="1" applyFill="1" applyBorder="1" applyAlignment="1">
      <alignment horizontal="right" vertical="center"/>
    </xf>
    <xf numFmtId="4" fontId="9" fillId="3" borderId="1251" xfId="4" applyNumberFormat="1" applyFont="1" applyFill="1" applyBorder="1" applyAlignment="1">
      <alignment horizontal="right" vertical="center"/>
    </xf>
    <xf numFmtId="3" fontId="9" fillId="3" borderId="1251" xfId="4" applyNumberFormat="1" applyFont="1" applyFill="1" applyBorder="1" applyAlignment="1">
      <alignment horizontal="right" vertical="center"/>
    </xf>
    <xf numFmtId="4" fontId="9" fillId="3" borderId="162" xfId="4" applyNumberFormat="1" applyFont="1" applyFill="1" applyBorder="1" applyAlignment="1">
      <alignment vertical="center" wrapText="1"/>
    </xf>
    <xf numFmtId="4" fontId="9" fillId="3" borderId="1251" xfId="4" applyNumberFormat="1" applyFont="1" applyFill="1" applyBorder="1" applyAlignment="1">
      <alignment horizontal="right" vertical="center" wrapText="1"/>
    </xf>
    <xf numFmtId="3" fontId="44" fillId="6" borderId="109" xfId="4" applyNumberFormat="1" applyFont="1" applyFill="1" applyBorder="1" applyAlignment="1">
      <alignment horizontal="right" vertical="center"/>
    </xf>
    <xf numFmtId="3" fontId="44" fillId="6" borderId="168" xfId="4" applyNumberFormat="1" applyFont="1" applyFill="1" applyBorder="1" applyAlignment="1">
      <alignment horizontal="right" vertical="center"/>
    </xf>
    <xf numFmtId="4" fontId="44" fillId="6" borderId="109" xfId="4" applyNumberFormat="1" applyFont="1" applyFill="1" applyBorder="1" applyAlignment="1">
      <alignment vertical="center" wrapText="1"/>
    </xf>
    <xf numFmtId="49" fontId="9" fillId="11" borderId="1234" xfId="4" applyNumberFormat="1" applyFont="1" applyFill="1" applyBorder="1" applyAlignment="1">
      <alignment horizontal="center" vertical="center"/>
    </xf>
    <xf numFmtId="3" fontId="9" fillId="11" borderId="1220" xfId="4" applyNumberFormat="1" applyFont="1" applyFill="1" applyBorder="1" applyAlignment="1">
      <alignment horizontal="right" vertical="center"/>
    </xf>
    <xf numFmtId="4" fontId="9" fillId="11" borderId="1220" xfId="4" applyNumberFormat="1" applyFont="1" applyFill="1" applyBorder="1" applyAlignment="1">
      <alignment horizontal="right" vertical="center"/>
    </xf>
    <xf numFmtId="3" fontId="9" fillId="11" borderId="1220" xfId="4" applyNumberFormat="1" applyFont="1" applyFill="1" applyBorder="1" applyAlignment="1">
      <alignment horizontal="center" vertical="center"/>
    </xf>
    <xf numFmtId="0" fontId="44" fillId="11" borderId="1220" xfId="4" applyFont="1" applyFill="1" applyBorder="1" applyAlignment="1">
      <alignment horizontal="center" vertical="center" wrapText="1"/>
    </xf>
    <xf numFmtId="4" fontId="47" fillId="4" borderId="1234" xfId="4" applyNumberFormat="1" applyFont="1" applyFill="1" applyBorder="1" applyAlignment="1">
      <alignment horizontal="right" vertical="center" wrapText="1"/>
    </xf>
    <xf numFmtId="4" fontId="47" fillId="3" borderId="1141" xfId="4" applyNumberFormat="1" applyFont="1" applyFill="1" applyBorder="1" applyAlignment="1">
      <alignment horizontal="right" vertical="center" wrapText="1"/>
    </xf>
    <xf numFmtId="4" fontId="46" fillId="0" borderId="1310" xfId="4" applyNumberFormat="1" applyFont="1" applyBorder="1" applyAlignment="1">
      <alignment horizontal="right" vertical="center" wrapText="1"/>
    </xf>
    <xf numFmtId="49" fontId="44" fillId="4" borderId="1220" xfId="4" applyNumberFormat="1" applyFont="1" applyFill="1" applyBorder="1" applyAlignment="1">
      <alignment horizontal="center" vertical="center"/>
    </xf>
    <xf numFmtId="49" fontId="44" fillId="4" borderId="1281" xfId="4" applyNumberFormat="1" applyFont="1" applyFill="1" applyBorder="1" applyAlignment="1">
      <alignment horizontal="center" vertical="center"/>
    </xf>
    <xf numFmtId="49" fontId="44" fillId="0" borderId="1307" xfId="4" applyNumberFormat="1" applyFont="1" applyBorder="1" applyAlignment="1">
      <alignment horizontal="center" vertical="center"/>
    </xf>
    <xf numFmtId="4" fontId="44" fillId="0" borderId="1307" xfId="4" applyNumberFormat="1" applyFont="1" applyBorder="1" applyAlignment="1">
      <alignment horizontal="right" vertical="center" wrapText="1"/>
    </xf>
    <xf numFmtId="3" fontId="44" fillId="6" borderId="1307" xfId="4" applyNumberFormat="1" applyFont="1" applyFill="1" applyBorder="1" applyAlignment="1">
      <alignment vertical="center" wrapText="1"/>
    </xf>
    <xf numFmtId="49" fontId="9" fillId="6" borderId="8" xfId="4" applyNumberFormat="1" applyFont="1" applyFill="1" applyBorder="1" applyAlignment="1">
      <alignment horizontal="center" vertical="center"/>
    </xf>
    <xf numFmtId="49" fontId="44" fillId="6" borderId="1271" xfId="4" applyNumberFormat="1" applyFont="1" applyFill="1" applyBorder="1" applyAlignment="1">
      <alignment horizontal="center" vertical="center"/>
    </xf>
    <xf numFmtId="49" fontId="44" fillId="6" borderId="1271" xfId="4" applyNumberFormat="1" applyFont="1" applyFill="1" applyBorder="1" applyAlignment="1">
      <alignment horizontal="center" vertical="center" wrapText="1"/>
    </xf>
    <xf numFmtId="3" fontId="44" fillId="6" borderId="1309" xfId="4" applyNumberFormat="1" applyFont="1" applyFill="1" applyBorder="1" applyAlignment="1">
      <alignment horizontal="right" vertical="center"/>
    </xf>
    <xf numFmtId="0" fontId="5" fillId="0" borderId="168" xfId="4" applyFont="1" applyBorder="1" applyAlignment="1">
      <alignment horizontal="left" vertical="center" wrapText="1"/>
    </xf>
    <xf numFmtId="49" fontId="5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9" fillId="6" borderId="14" xfId="4" applyNumberFormat="1" applyFont="1" applyFill="1" applyBorder="1" applyAlignment="1">
      <alignment horizontal="left" vertical="center" wrapText="1"/>
    </xf>
    <xf numFmtId="3" fontId="47" fillId="6" borderId="14" xfId="4" applyNumberFormat="1" applyFont="1" applyFill="1" applyBorder="1" applyAlignment="1">
      <alignment horizontal="right" vertical="center" wrapText="1"/>
    </xf>
    <xf numFmtId="3" fontId="47" fillId="6" borderId="0" xfId="4" applyNumberFormat="1" applyFont="1" applyFill="1" applyAlignment="1">
      <alignment horizontal="right" vertical="center" wrapText="1"/>
    </xf>
    <xf numFmtId="4" fontId="47" fillId="6" borderId="1175" xfId="4" applyNumberFormat="1" applyFont="1" applyFill="1" applyBorder="1" applyAlignment="1">
      <alignment horizontal="right" vertical="center" wrapText="1"/>
    </xf>
    <xf numFmtId="4" fontId="47" fillId="6" borderId="0" xfId="4" applyNumberFormat="1" applyFont="1" applyFill="1" applyAlignment="1">
      <alignment horizontal="right" vertical="center" wrapText="1"/>
    </xf>
    <xf numFmtId="4" fontId="47" fillId="6" borderId="25" xfId="4" applyNumberFormat="1" applyFont="1" applyFill="1" applyBorder="1" applyAlignment="1">
      <alignment horizontal="right" vertical="center" wrapText="1"/>
    </xf>
    <xf numFmtId="49" fontId="5" fillId="17" borderId="1311" xfId="6" applyNumberFormat="1" applyFont="1" applyFill="1" applyBorder="1" applyAlignment="1" applyProtection="1">
      <alignment horizontal="left" vertical="center" wrapText="1"/>
      <protection locked="0"/>
    </xf>
    <xf numFmtId="3" fontId="8" fillId="18" borderId="1216" xfId="6" applyNumberFormat="1" applyFont="1" applyFill="1" applyBorder="1" applyAlignment="1" applyProtection="1">
      <alignment vertical="top" wrapText="1"/>
      <protection locked="0"/>
    </xf>
    <xf numFmtId="4" fontId="8" fillId="18" borderId="1216" xfId="6" applyNumberFormat="1" applyFont="1" applyFill="1" applyBorder="1" applyAlignment="1" applyProtection="1">
      <alignment vertical="top" wrapText="1"/>
      <protection locked="0"/>
    </xf>
    <xf numFmtId="10" fontId="8" fillId="2" borderId="1216" xfId="1" applyNumberFormat="1" applyFont="1" applyFill="1" applyBorder="1" applyAlignment="1" applyProtection="1">
      <alignment horizontal="right" vertical="center"/>
      <protection locked="0"/>
    </xf>
    <xf numFmtId="3" fontId="12" fillId="20" borderId="1216" xfId="6" applyNumberFormat="1" applyFont="1" applyFill="1" applyBorder="1" applyAlignment="1" applyProtection="1">
      <alignment horizontal="right" vertical="center" wrapText="1"/>
      <protection locked="0"/>
    </xf>
    <xf numFmtId="4" fontId="12" fillId="20" borderId="1216" xfId="6" applyNumberFormat="1" applyFont="1" applyFill="1" applyBorder="1" applyAlignment="1" applyProtection="1">
      <alignment horizontal="right" vertical="center" wrapText="1"/>
      <protection locked="0"/>
    </xf>
    <xf numFmtId="10" fontId="12" fillId="10" borderId="1216" xfId="1" applyNumberFormat="1" applyFont="1" applyFill="1" applyBorder="1" applyAlignment="1" applyProtection="1">
      <alignment horizontal="right" vertical="center"/>
      <protection locked="0"/>
    </xf>
    <xf numFmtId="0" fontId="5" fillId="0" borderId="1177" xfId="7" applyFont="1" applyBorder="1" applyAlignment="1">
      <alignment horizontal="left" vertical="center"/>
    </xf>
    <xf numFmtId="0" fontId="5" fillId="0" borderId="1108" xfId="6" applyNumberFormat="1" applyFont="1" applyFill="1" applyBorder="1" applyAlignment="1" applyProtection="1">
      <alignment horizontal="left" vertical="center"/>
      <protection locked="0"/>
    </xf>
    <xf numFmtId="3" fontId="5" fillId="17" borderId="1175" xfId="6" applyNumberFormat="1" applyFont="1" applyFill="1" applyBorder="1" applyAlignment="1" applyProtection="1">
      <alignment horizontal="right" vertical="center" wrapText="1"/>
      <protection locked="0"/>
    </xf>
    <xf numFmtId="4" fontId="5" fillId="17" borderId="1175" xfId="6" applyNumberFormat="1" applyFont="1" applyFill="1" applyBorder="1" applyAlignment="1" applyProtection="1">
      <alignment horizontal="right" vertical="center" wrapText="1"/>
      <protection locked="0"/>
    </xf>
    <xf numFmtId="10" fontId="5" fillId="0" borderId="1303" xfId="1" applyNumberFormat="1" applyFont="1" applyFill="1" applyBorder="1" applyAlignment="1" applyProtection="1">
      <alignment horizontal="right" vertical="center"/>
      <protection locked="0"/>
    </xf>
    <xf numFmtId="0" fontId="13" fillId="0" borderId="1306" xfId="7" applyFont="1" applyBorder="1" applyAlignment="1">
      <alignment horizontal="left" vertical="center"/>
    </xf>
    <xf numFmtId="0" fontId="13" fillId="0" borderId="1138" xfId="6" applyNumberFormat="1" applyFont="1" applyFill="1" applyBorder="1" applyAlignment="1" applyProtection="1">
      <alignment horizontal="left" vertical="center"/>
      <protection locked="0"/>
    </xf>
    <xf numFmtId="3" fontId="13" fillId="17" borderId="1305" xfId="6" applyNumberFormat="1" applyFont="1" applyFill="1" applyBorder="1" applyAlignment="1" applyProtection="1">
      <alignment horizontal="right" vertical="center" wrapText="1"/>
      <protection locked="0"/>
    </xf>
    <xf numFmtId="4" fontId="13" fillId="17" borderId="1305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1306" xfId="7" applyFont="1" applyBorder="1" applyAlignment="1">
      <alignment horizontal="left" vertical="center"/>
    </xf>
    <xf numFmtId="0" fontId="5" fillId="0" borderId="1138" xfId="6" applyNumberFormat="1" applyFont="1" applyFill="1" applyBorder="1" applyAlignment="1" applyProtection="1">
      <alignment horizontal="left" vertical="center"/>
      <protection locked="0"/>
    </xf>
    <xf numFmtId="3" fontId="5" fillId="17" borderId="1305" xfId="6" applyNumberFormat="1" applyFont="1" applyFill="1" applyBorder="1" applyAlignment="1" applyProtection="1">
      <alignment horizontal="right" vertical="center" wrapText="1"/>
      <protection locked="0"/>
    </xf>
    <xf numFmtId="4" fontId="5" fillId="17" borderId="1305" xfId="6" applyNumberFormat="1" applyFont="1" applyFill="1" applyBorder="1" applyAlignment="1" applyProtection="1">
      <alignment horizontal="right" vertical="center" wrapText="1"/>
      <protection locked="0"/>
    </xf>
    <xf numFmtId="0" fontId="5" fillId="0" borderId="952" xfId="7" applyFont="1" applyBorder="1" applyAlignment="1">
      <alignment horizontal="left" vertical="center"/>
    </xf>
    <xf numFmtId="3" fontId="5" fillId="17" borderId="1157" xfId="6" applyNumberFormat="1" applyFont="1" applyFill="1" applyBorder="1" applyAlignment="1" applyProtection="1">
      <alignment horizontal="right" vertical="center" wrapText="1"/>
      <protection locked="0"/>
    </xf>
    <xf numFmtId="4" fontId="5" fillId="17" borderId="1157" xfId="6" applyNumberFormat="1" applyFont="1" applyFill="1" applyBorder="1" applyAlignment="1" applyProtection="1">
      <alignment horizontal="right" vertical="center" wrapText="1"/>
      <protection locked="0"/>
    </xf>
    <xf numFmtId="0" fontId="12" fillId="10" borderId="1234" xfId="7" applyFont="1" applyFill="1" applyBorder="1" applyAlignment="1">
      <alignment horizontal="left" vertical="center"/>
    </xf>
    <xf numFmtId="0" fontId="12" fillId="10" borderId="1281" xfId="6" applyNumberFormat="1" applyFont="1" applyFill="1" applyBorder="1" applyAlignment="1" applyProtection="1">
      <alignment horizontal="left" vertical="center"/>
      <protection locked="0"/>
    </xf>
    <xf numFmtId="0" fontId="5" fillId="0" borderId="817" xfId="7" applyFont="1" applyBorder="1" applyAlignment="1">
      <alignment horizontal="left" vertical="center"/>
    </xf>
    <xf numFmtId="0" fontId="5" fillId="0" borderId="1312" xfId="6" applyNumberFormat="1" applyFont="1" applyFill="1" applyBorder="1" applyAlignment="1" applyProtection="1">
      <alignment horizontal="left" vertical="center"/>
      <protection locked="0"/>
    </xf>
    <xf numFmtId="0" fontId="5" fillId="0" borderId="1163" xfId="6" applyNumberFormat="1" applyFont="1" applyFill="1" applyBorder="1" applyAlignment="1" applyProtection="1">
      <alignment horizontal="left" vertical="center"/>
      <protection locked="0"/>
    </xf>
    <xf numFmtId="0" fontId="5" fillId="0" borderId="1304" xfId="6" applyNumberFormat="1" applyFont="1" applyFill="1" applyBorder="1" applyAlignment="1" applyProtection="1">
      <alignment horizontal="left" vertical="center"/>
      <protection locked="0"/>
    </xf>
    <xf numFmtId="0" fontId="5" fillId="0" borderId="1310" xfId="7" applyFont="1" applyBorder="1" applyAlignment="1">
      <alignment horizontal="left" vertical="center"/>
    </xf>
    <xf numFmtId="0" fontId="5" fillId="0" borderId="1307" xfId="6" applyNumberFormat="1" applyFont="1" applyFill="1" applyBorder="1" applyAlignment="1" applyProtection="1">
      <alignment horizontal="left" vertical="center"/>
      <protection locked="0"/>
    </xf>
    <xf numFmtId="0" fontId="5" fillId="0" borderId="1308" xfId="6" applyNumberFormat="1" applyFont="1" applyFill="1" applyBorder="1" applyAlignment="1" applyProtection="1">
      <alignment horizontal="left" vertical="center"/>
      <protection locked="0"/>
    </xf>
    <xf numFmtId="0" fontId="77" fillId="0" borderId="99" xfId="4" quotePrefix="1" applyFont="1" applyBorder="1" applyAlignment="1">
      <alignment vertical="center" wrapText="1"/>
    </xf>
    <xf numFmtId="0" fontId="5" fillId="0" borderId="950" xfId="2" applyFont="1" applyBorder="1" applyAlignment="1">
      <alignment horizontal="left" vertical="center" wrapText="1"/>
    </xf>
    <xf numFmtId="3" fontId="36" fillId="0" borderId="1314" xfId="3" applyNumberFormat="1" applyFont="1" applyFill="1" applyBorder="1" applyAlignment="1">
      <alignment horizontal="right" vertical="center"/>
    </xf>
    <xf numFmtId="3" fontId="5" fillId="0" borderId="1314" xfId="2" applyNumberFormat="1" applyFont="1" applyBorder="1" applyAlignment="1">
      <alignment horizontal="right" vertical="center"/>
    </xf>
    <xf numFmtId="4" fontId="5" fillId="0" borderId="1315" xfId="2" applyNumberFormat="1" applyFont="1" applyBorder="1" applyAlignment="1">
      <alignment horizontal="right" vertical="center"/>
    </xf>
    <xf numFmtId="10" fontId="14" fillId="0" borderId="1314" xfId="1" applyNumberFormat="1" applyFont="1" applyFill="1" applyBorder="1" applyAlignment="1">
      <alignment horizontal="right" vertical="center"/>
    </xf>
    <xf numFmtId="10" fontId="7" fillId="5" borderId="1314" xfId="1" applyNumberFormat="1" applyFont="1" applyFill="1" applyBorder="1" applyAlignment="1">
      <alignment horizontal="right" vertical="center"/>
    </xf>
    <xf numFmtId="0" fontId="5" fillId="0" borderId="199" xfId="2" applyFont="1" applyBorder="1" applyAlignment="1">
      <alignment vertical="center" wrapText="1"/>
    </xf>
    <xf numFmtId="0" fontId="12" fillId="4" borderId="1235" xfId="2" applyFont="1" applyFill="1" applyBorder="1" applyAlignment="1">
      <alignment horizontal="center" vertical="center" wrapText="1"/>
    </xf>
    <xf numFmtId="0" fontId="12" fillId="4" borderId="1234" xfId="2" applyFont="1" applyFill="1" applyBorder="1" applyAlignment="1">
      <alignment vertical="center" wrapText="1"/>
    </xf>
    <xf numFmtId="0" fontId="12" fillId="4" borderId="1216" xfId="2" applyFont="1" applyFill="1" applyBorder="1" applyAlignment="1">
      <alignment vertical="center" wrapText="1"/>
    </xf>
    <xf numFmtId="3" fontId="11" fillId="4" borderId="199" xfId="2" applyNumberFormat="1" applyFont="1" applyFill="1" applyBorder="1" applyAlignment="1">
      <alignment horizontal="right" vertical="center"/>
    </xf>
    <xf numFmtId="4" fontId="11" fillId="4" borderId="1317" xfId="2" applyNumberFormat="1" applyFont="1" applyFill="1" applyBorder="1" applyAlignment="1">
      <alignment horizontal="right" vertical="center"/>
    </xf>
    <xf numFmtId="10" fontId="11" fillId="4" borderId="1216" xfId="1" applyNumberFormat="1" applyFont="1" applyFill="1" applyBorder="1" applyAlignment="1">
      <alignment horizontal="right" vertical="center"/>
    </xf>
    <xf numFmtId="0" fontId="13" fillId="5" borderId="1318" xfId="2" quotePrefix="1" applyFont="1" applyFill="1" applyBorder="1" applyAlignment="1">
      <alignment horizontal="left" vertical="center" wrapText="1"/>
    </xf>
    <xf numFmtId="3" fontId="7" fillId="5" borderId="1318" xfId="2" applyNumberFormat="1" applyFont="1" applyFill="1" applyBorder="1" applyAlignment="1">
      <alignment horizontal="right" vertical="center"/>
    </xf>
    <xf numFmtId="4" fontId="7" fillId="5" borderId="1318" xfId="2" applyNumberFormat="1" applyFont="1" applyFill="1" applyBorder="1" applyAlignment="1">
      <alignment horizontal="right" vertical="center"/>
    </xf>
    <xf numFmtId="0" fontId="5" fillId="0" borderId="950" xfId="2" quotePrefix="1" applyFont="1" applyBorder="1" applyAlignment="1">
      <alignment horizontal="left" vertical="center" wrapText="1"/>
    </xf>
    <xf numFmtId="49" fontId="5" fillId="0" borderId="1314" xfId="2" quotePrefix="1" applyNumberFormat="1" applyFont="1" applyBorder="1" applyAlignment="1">
      <alignment horizontal="center" vertical="center" wrapText="1"/>
    </xf>
    <xf numFmtId="3" fontId="14" fillId="0" borderId="1314" xfId="2" applyNumberFormat="1" applyFont="1" applyBorder="1" applyAlignment="1">
      <alignment horizontal="right" vertical="center"/>
    </xf>
    <xf numFmtId="10" fontId="11" fillId="0" borderId="1305" xfId="1" applyNumberFormat="1" applyFont="1" applyFill="1" applyBorder="1" applyAlignment="1">
      <alignment horizontal="right" vertical="center"/>
    </xf>
    <xf numFmtId="0" fontId="5" fillId="0" borderId="1315" xfId="2" applyFont="1" applyBorder="1" applyAlignment="1">
      <alignment horizontal="left" vertical="center" wrapText="1"/>
    </xf>
    <xf numFmtId="3" fontId="14" fillId="0" borderId="1314" xfId="3" applyNumberFormat="1" applyFont="1" applyFill="1" applyBorder="1" applyAlignment="1">
      <alignment horizontal="right" vertical="center"/>
    </xf>
    <xf numFmtId="10" fontId="14" fillId="0" borderId="1305" xfId="1" applyNumberFormat="1" applyFont="1" applyFill="1" applyBorder="1" applyAlignment="1">
      <alignment horizontal="right" vertical="center"/>
    </xf>
    <xf numFmtId="49" fontId="15" fillId="5" borderId="1318" xfId="2" quotePrefix="1" applyNumberFormat="1" applyFont="1" applyFill="1" applyBorder="1" applyAlignment="1">
      <alignment horizontal="center" vertical="center" wrapText="1"/>
    </xf>
    <xf numFmtId="3" fontId="33" fillId="5" borderId="1318" xfId="2" applyNumberFormat="1" applyFont="1" applyFill="1" applyBorder="1" applyAlignment="1">
      <alignment horizontal="right" vertical="center"/>
    </xf>
    <xf numFmtId="4" fontId="33" fillId="5" borderId="1318" xfId="2" applyNumberFormat="1" applyFont="1" applyFill="1" applyBorder="1" applyAlignment="1">
      <alignment horizontal="right" vertical="center"/>
    </xf>
    <xf numFmtId="10" fontId="7" fillId="5" borderId="1318" xfId="1" applyNumberFormat="1" applyFont="1" applyFill="1" applyBorder="1" applyAlignment="1">
      <alignment horizontal="right" vertical="center"/>
    </xf>
    <xf numFmtId="0" fontId="8" fillId="3" borderId="1216" xfId="2" applyFont="1" applyFill="1" applyBorder="1" applyAlignment="1">
      <alignment horizontal="center" vertical="center" wrapText="1"/>
    </xf>
    <xf numFmtId="0" fontId="12" fillId="3" borderId="1235" xfId="2" applyFont="1" applyFill="1" applyBorder="1" applyAlignment="1">
      <alignment horizontal="center" vertical="center" wrapText="1"/>
    </xf>
    <xf numFmtId="0" fontId="8" fillId="3" borderId="1281" xfId="2" applyFont="1" applyFill="1" applyBorder="1" applyAlignment="1">
      <alignment vertical="center" wrapText="1"/>
    </xf>
    <xf numFmtId="0" fontId="8" fillId="3" borderId="1216" xfId="2" applyFont="1" applyFill="1" applyBorder="1" applyAlignment="1">
      <alignment vertical="center" wrapText="1"/>
    </xf>
    <xf numFmtId="3" fontId="11" fillId="3" borderId="1216" xfId="2" applyNumberFormat="1" applyFont="1" applyFill="1" applyBorder="1" applyAlignment="1">
      <alignment horizontal="right" vertical="center"/>
    </xf>
    <xf numFmtId="4" fontId="11" fillId="3" borderId="1216" xfId="2" applyNumberFormat="1" applyFont="1" applyFill="1" applyBorder="1" applyAlignment="1">
      <alignment horizontal="right" vertical="center"/>
    </xf>
    <xf numFmtId="10" fontId="11" fillId="3" borderId="1216" xfId="1" applyNumberFormat="1" applyFont="1" applyFill="1" applyBorder="1" applyAlignment="1">
      <alignment horizontal="right" vertical="center"/>
    </xf>
    <xf numFmtId="0" fontId="8" fillId="0" borderId="199" xfId="2" applyFont="1" applyBorder="1" applyAlignment="1">
      <alignment vertical="center" wrapText="1"/>
    </xf>
    <xf numFmtId="0" fontId="12" fillId="4" borderId="1281" xfId="2" applyFont="1" applyFill="1" applyBorder="1" applyAlignment="1">
      <alignment vertical="center" wrapText="1"/>
    </xf>
    <xf numFmtId="0" fontId="13" fillId="5" borderId="1314" xfId="2" quotePrefix="1" applyFont="1" applyFill="1" applyBorder="1" applyAlignment="1">
      <alignment horizontal="left" vertical="center" wrapText="1"/>
    </xf>
    <xf numFmtId="3" fontId="7" fillId="5" borderId="199" xfId="2" applyNumberFormat="1" applyFont="1" applyFill="1" applyBorder="1" applyAlignment="1">
      <alignment horizontal="right" vertical="center"/>
    </xf>
    <xf numFmtId="4" fontId="7" fillId="5" borderId="1317" xfId="2" applyNumberFormat="1" applyFont="1" applyFill="1" applyBorder="1" applyAlignment="1">
      <alignment horizontal="right" vertical="center"/>
    </xf>
    <xf numFmtId="4" fontId="13" fillId="5" borderId="1310" xfId="2" applyNumberFormat="1" applyFont="1" applyFill="1" applyBorder="1" applyAlignment="1">
      <alignment horizontal="right" vertical="center"/>
    </xf>
    <xf numFmtId="0" fontId="5" fillId="0" borderId="1306" xfId="2" applyFont="1" applyBorder="1" applyAlignment="1">
      <alignment vertical="center" wrapText="1"/>
    </xf>
    <xf numFmtId="0" fontId="5" fillId="6" borderId="1305" xfId="2" applyFont="1" applyFill="1" applyBorder="1" applyAlignment="1">
      <alignment horizontal="center" vertical="center" wrapText="1"/>
    </xf>
    <xf numFmtId="3" fontId="14" fillId="0" borderId="1305" xfId="3" applyNumberFormat="1" applyFont="1" applyFill="1" applyBorder="1" applyAlignment="1">
      <alignment horizontal="right" vertical="center"/>
    </xf>
    <xf numFmtId="3" fontId="5" fillId="0" borderId="1305" xfId="2" applyNumberFormat="1" applyFont="1" applyBorder="1" applyAlignment="1">
      <alignment horizontal="right" vertical="center"/>
    </xf>
    <xf numFmtId="4" fontId="5" fillId="0" borderId="1306" xfId="2" applyNumberFormat="1" applyFont="1" applyBorder="1" applyAlignment="1">
      <alignment horizontal="right" vertical="center"/>
    </xf>
    <xf numFmtId="0" fontId="12" fillId="0" borderId="1314" xfId="2" applyFont="1" applyBorder="1" applyAlignment="1">
      <alignment vertical="center" wrapText="1"/>
    </xf>
    <xf numFmtId="0" fontId="12" fillId="0" borderId="1313" xfId="2" applyFont="1" applyBorder="1" applyAlignment="1">
      <alignment vertical="center" wrapText="1"/>
    </xf>
    <xf numFmtId="3" fontId="7" fillId="5" borderId="1303" xfId="2" applyNumberFormat="1" applyFont="1" applyFill="1" applyBorder="1" applyAlignment="1">
      <alignment horizontal="right" vertical="center"/>
    </xf>
    <xf numFmtId="4" fontId="7" fillId="5" borderId="1314" xfId="2" applyNumberFormat="1" applyFont="1" applyFill="1" applyBorder="1" applyAlignment="1">
      <alignment horizontal="right" vertical="center"/>
    </xf>
    <xf numFmtId="10" fontId="36" fillId="5" borderId="1314" xfId="1" applyNumberFormat="1" applyFont="1" applyFill="1" applyBorder="1" applyAlignment="1">
      <alignment horizontal="right" vertical="center"/>
    </xf>
    <xf numFmtId="49" fontId="5" fillId="6" borderId="1305" xfId="2" applyNumberFormat="1" applyFont="1" applyFill="1" applyBorder="1" applyAlignment="1">
      <alignment horizontal="center" vertical="center" wrapText="1"/>
    </xf>
    <xf numFmtId="10" fontId="34" fillId="4" borderId="1216" xfId="1" applyNumberFormat="1" applyFont="1" applyFill="1" applyBorder="1" applyAlignment="1">
      <alignment horizontal="right" vertical="center"/>
    </xf>
    <xf numFmtId="0" fontId="32" fillId="5" borderId="1318" xfId="2" quotePrefix="1" applyFont="1" applyFill="1" applyBorder="1" applyAlignment="1">
      <alignment horizontal="left" vertical="center" wrapText="1"/>
    </xf>
    <xf numFmtId="3" fontId="33" fillId="5" borderId="198" xfId="2" applyNumberFormat="1" applyFont="1" applyFill="1" applyBorder="1" applyAlignment="1">
      <alignment horizontal="right" vertical="center"/>
    </xf>
    <xf numFmtId="4" fontId="33" fillId="5" borderId="198" xfId="2" applyNumberFormat="1" applyFont="1" applyFill="1" applyBorder="1" applyAlignment="1">
      <alignment horizontal="right" vertical="center"/>
    </xf>
    <xf numFmtId="0" fontId="32" fillId="0" borderId="1313" xfId="2" applyFont="1" applyBorder="1" applyAlignment="1">
      <alignment horizontal="left" vertical="center" wrapText="1"/>
    </xf>
    <xf numFmtId="0" fontId="31" fillId="0" borderId="1316" xfId="2" quotePrefix="1" applyFont="1" applyBorder="1" applyAlignment="1">
      <alignment vertical="center" wrapText="1"/>
    </xf>
    <xf numFmtId="0" fontId="31" fillId="0" borderId="1314" xfId="2" quotePrefix="1" applyFont="1" applyBorder="1" applyAlignment="1">
      <alignment horizontal="center" vertical="center" wrapText="1"/>
    </xf>
    <xf numFmtId="3" fontId="36" fillId="0" borderId="1304" xfId="2" applyNumberFormat="1" applyFont="1" applyBorder="1" applyAlignment="1">
      <alignment horizontal="right" vertical="center"/>
    </xf>
    <xf numFmtId="3" fontId="36" fillId="0" borderId="1305" xfId="2" applyNumberFormat="1" applyFont="1" applyBorder="1" applyAlignment="1">
      <alignment horizontal="right" vertical="center"/>
    </xf>
    <xf numFmtId="4" fontId="36" fillId="0" borderId="1305" xfId="2" applyNumberFormat="1" applyFont="1" applyBorder="1" applyAlignment="1">
      <alignment horizontal="right" vertical="center"/>
    </xf>
    <xf numFmtId="10" fontId="36" fillId="0" borderId="1305" xfId="1" applyNumberFormat="1" applyFont="1" applyFill="1" applyBorder="1" applyAlignment="1">
      <alignment horizontal="right" vertical="center"/>
    </xf>
    <xf numFmtId="0" fontId="5" fillId="0" borderId="1316" xfId="2" quotePrefix="1" applyFont="1" applyBorder="1" applyAlignment="1">
      <alignment vertical="center" wrapText="1"/>
    </xf>
    <xf numFmtId="0" fontId="5" fillId="0" borderId="1305" xfId="2" quotePrefix="1" applyFont="1" applyBorder="1" applyAlignment="1">
      <alignment horizontal="center" vertical="center" wrapText="1"/>
    </xf>
    <xf numFmtId="3" fontId="14" fillId="0" borderId="1304" xfId="2" applyNumberFormat="1" applyFont="1" applyBorder="1" applyAlignment="1">
      <alignment horizontal="right" vertical="center"/>
    </xf>
    <xf numFmtId="3" fontId="14" fillId="0" borderId="1305" xfId="2" applyNumberFormat="1" applyFont="1" applyBorder="1" applyAlignment="1">
      <alignment horizontal="right" vertical="center"/>
    </xf>
    <xf numFmtId="4" fontId="14" fillId="0" borderId="1305" xfId="2" applyNumberFormat="1" applyFont="1" applyBorder="1" applyAlignment="1">
      <alignment horizontal="right" vertical="center"/>
    </xf>
    <xf numFmtId="49" fontId="31" fillId="6" borderId="1305" xfId="2" quotePrefix="1" applyNumberFormat="1" applyFont="1" applyFill="1" applyBorder="1" applyAlignment="1">
      <alignment horizontal="center" vertical="center" wrapText="1"/>
    </xf>
    <xf numFmtId="3" fontId="36" fillId="0" borderId="1304" xfId="3" applyNumberFormat="1" applyFont="1" applyFill="1" applyBorder="1" applyAlignment="1">
      <alignment horizontal="right" vertical="center"/>
    </xf>
    <xf numFmtId="3" fontId="31" fillId="0" borderId="1305" xfId="2" applyNumberFormat="1" applyFont="1" applyBorder="1" applyAlignment="1">
      <alignment horizontal="right" vertical="center"/>
    </xf>
    <xf numFmtId="4" fontId="31" fillId="0" borderId="1305" xfId="2" applyNumberFormat="1" applyFont="1" applyBorder="1" applyAlignment="1">
      <alignment horizontal="right" vertical="center"/>
    </xf>
    <xf numFmtId="10" fontId="18" fillId="0" borderId="1305" xfId="1" applyNumberFormat="1" applyFont="1" applyFill="1" applyBorder="1" applyAlignment="1">
      <alignment horizontal="right" vertical="center"/>
    </xf>
    <xf numFmtId="49" fontId="31" fillId="6" borderId="1314" xfId="2" quotePrefix="1" applyNumberFormat="1" applyFont="1" applyFill="1" applyBorder="1" applyAlignment="1">
      <alignment horizontal="center" vertical="center" wrapText="1"/>
    </xf>
    <xf numFmtId="3" fontId="14" fillId="0" borderId="1304" xfId="3" applyNumberFormat="1" applyFont="1" applyFill="1" applyBorder="1" applyAlignment="1">
      <alignment horizontal="right" vertical="center"/>
    </xf>
    <xf numFmtId="4" fontId="5" fillId="0" borderId="1305" xfId="2" applyNumberFormat="1" applyFont="1" applyBorder="1" applyAlignment="1">
      <alignment horizontal="right" vertical="center"/>
    </xf>
    <xf numFmtId="49" fontId="31" fillId="6" borderId="1314" xfId="2" applyNumberFormat="1" applyFont="1" applyFill="1" applyBorder="1" applyAlignment="1">
      <alignment horizontal="center" vertical="center" wrapText="1"/>
    </xf>
    <xf numFmtId="10" fontId="17" fillId="0" borderId="1305" xfId="1" applyNumberFormat="1" applyFont="1" applyFill="1" applyBorder="1" applyAlignment="1">
      <alignment horizontal="right" vertical="center"/>
    </xf>
    <xf numFmtId="49" fontId="5" fillId="6" borderId="1314" xfId="2" applyNumberFormat="1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3" fontId="36" fillId="0" borderId="1308" xfId="3" applyNumberFormat="1" applyFont="1" applyFill="1" applyBorder="1" applyAlignment="1">
      <alignment horizontal="right" vertical="center"/>
    </xf>
    <xf numFmtId="3" fontId="36" fillId="0" borderId="1303" xfId="3" applyNumberFormat="1" applyFont="1" applyFill="1" applyBorder="1" applyAlignment="1">
      <alignment horizontal="right" vertical="center"/>
    </xf>
    <xf numFmtId="3" fontId="31" fillId="0" borderId="1314" xfId="2" applyNumberFormat="1" applyFont="1" applyBorder="1" applyAlignment="1">
      <alignment horizontal="right" vertical="center"/>
    </xf>
    <xf numFmtId="4" fontId="31" fillId="0" borderId="1314" xfId="2" applyNumberFormat="1" applyFont="1" applyBorder="1" applyAlignment="1">
      <alignment horizontal="right" vertical="center"/>
    </xf>
    <xf numFmtId="10" fontId="36" fillId="0" borderId="1314" xfId="1" applyNumberFormat="1" applyFont="1" applyFill="1" applyBorder="1" applyAlignment="1">
      <alignment horizontal="right" vertical="center"/>
    </xf>
    <xf numFmtId="0" fontId="31" fillId="0" borderId="1305" xfId="2" applyFont="1" applyBorder="1" applyAlignment="1">
      <alignment horizontal="left" vertical="center" wrapText="1"/>
    </xf>
    <xf numFmtId="49" fontId="31" fillId="6" borderId="1305" xfId="2" applyNumberFormat="1" applyFont="1" applyFill="1" applyBorder="1" applyAlignment="1">
      <alignment horizontal="center" vertical="center" wrapText="1"/>
    </xf>
    <xf numFmtId="4" fontId="44" fillId="0" borderId="14" xfId="4" applyNumberFormat="1" applyFont="1" applyBorder="1" applyAlignment="1">
      <alignment horizontal="right" vertical="center" wrapText="1"/>
    </xf>
    <xf numFmtId="4" fontId="51" fillId="5" borderId="1216" xfId="4" applyNumberFormat="1" applyFont="1" applyFill="1" applyBorder="1" applyAlignment="1">
      <alignment horizontal="right" vertical="center" wrapText="1"/>
    </xf>
    <xf numFmtId="0" fontId="5" fillId="0" borderId="1314" xfId="4" applyFont="1" applyBorder="1" applyAlignment="1">
      <alignment vertical="center" wrapText="1"/>
    </xf>
    <xf numFmtId="49" fontId="12" fillId="10" borderId="1216" xfId="6" applyNumberFormat="1" applyFont="1" applyFill="1" applyBorder="1" applyAlignment="1" applyProtection="1">
      <alignment horizontal="center" vertical="center" wrapText="1"/>
      <protection locked="0"/>
    </xf>
    <xf numFmtId="49" fontId="12" fillId="10" borderId="1221" xfId="6" applyNumberFormat="1" applyFont="1" applyFill="1" applyBorder="1" applyAlignment="1" applyProtection="1">
      <alignment horizontal="center" vertical="center" wrapText="1"/>
      <protection locked="0"/>
    </xf>
    <xf numFmtId="49" fontId="12" fillId="10" borderId="1222" xfId="6" applyNumberFormat="1" applyFont="1" applyFill="1" applyBorder="1" applyAlignment="1" applyProtection="1">
      <alignment horizontal="left" vertical="center" wrapText="1"/>
      <protection locked="0"/>
    </xf>
    <xf numFmtId="3" fontId="8" fillId="0" borderId="1318" xfId="6" applyNumberFormat="1" applyFont="1" applyFill="1" applyBorder="1" applyAlignment="1" applyProtection="1">
      <alignment vertical="center"/>
      <protection locked="0"/>
    </xf>
    <xf numFmtId="4" fontId="8" fillId="0" borderId="1318" xfId="6" applyNumberFormat="1" applyFont="1" applyFill="1" applyBorder="1" applyAlignment="1" applyProtection="1">
      <alignment vertical="center"/>
      <protection locked="0"/>
    </xf>
    <xf numFmtId="10" fontId="8" fillId="0" borderId="1303" xfId="1" applyNumberFormat="1" applyFont="1" applyFill="1" applyBorder="1" applyAlignment="1" applyProtection="1">
      <alignment horizontal="right" vertical="center"/>
      <protection locked="0"/>
    </xf>
    <xf numFmtId="3" fontId="5" fillId="0" borderId="1305" xfId="6" applyNumberFormat="1" applyFont="1" applyFill="1" applyBorder="1" applyAlignment="1" applyProtection="1">
      <alignment horizontal="right" vertical="center"/>
      <protection locked="0"/>
    </xf>
    <xf numFmtId="4" fontId="5" fillId="0" borderId="1305" xfId="6" applyNumberFormat="1" applyFont="1" applyFill="1" applyBorder="1" applyAlignment="1" applyProtection="1">
      <alignment horizontal="right" vertical="center"/>
      <protection locked="0"/>
    </xf>
    <xf numFmtId="49" fontId="5" fillId="17" borderId="137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234" xfId="6" applyNumberFormat="1" applyFont="1" applyFill="1" applyBorder="1" applyAlignment="1" applyProtection="1">
      <alignment horizontal="center" vertical="center" wrapText="1"/>
      <protection locked="0"/>
    </xf>
    <xf numFmtId="49" fontId="85" fillId="20" borderId="1322" xfId="6" applyNumberFormat="1" applyFont="1" applyFill="1" applyBorder="1" applyAlignment="1" applyProtection="1">
      <alignment horizontal="left" vertical="center" wrapText="1"/>
      <protection locked="0"/>
    </xf>
    <xf numFmtId="3" fontId="85" fillId="10" borderId="1216" xfId="6" applyNumberFormat="1" applyFont="1" applyFill="1" applyBorder="1" applyAlignment="1" applyProtection="1">
      <alignment vertical="center"/>
      <protection locked="0"/>
    </xf>
    <xf numFmtId="4" fontId="85" fillId="10" borderId="1216" xfId="6" applyNumberFormat="1" applyFont="1" applyFill="1" applyBorder="1" applyAlignment="1" applyProtection="1">
      <alignment vertical="center"/>
      <protection locked="0"/>
    </xf>
    <xf numFmtId="10" fontId="35" fillId="10" borderId="1216" xfId="1" applyNumberFormat="1" applyFont="1" applyFill="1" applyBorder="1" applyAlignment="1" applyProtection="1">
      <alignment horizontal="right" vertical="center"/>
      <protection locked="0"/>
    </xf>
    <xf numFmtId="49" fontId="31" fillId="0" borderId="1317" xfId="6" applyNumberFormat="1" applyFont="1" applyFill="1" applyBorder="1" applyAlignment="1" applyProtection="1">
      <alignment vertical="center" wrapText="1"/>
      <protection locked="0"/>
    </xf>
    <xf numFmtId="3" fontId="35" fillId="0" borderId="1318" xfId="6" applyNumberFormat="1" applyFont="1" applyFill="1" applyBorder="1" applyAlignment="1" applyProtection="1">
      <alignment vertical="center"/>
      <protection locked="0"/>
    </xf>
    <xf numFmtId="4" fontId="35" fillId="0" borderId="1318" xfId="6" applyNumberFormat="1" applyFont="1" applyFill="1" applyBorder="1" applyAlignment="1" applyProtection="1">
      <alignment vertical="center"/>
      <protection locked="0"/>
    </xf>
    <xf numFmtId="10" fontId="35" fillId="0" borderId="1303" xfId="1" applyNumberFormat="1" applyFont="1" applyFill="1" applyBorder="1" applyAlignment="1" applyProtection="1">
      <alignment horizontal="right" vertical="center"/>
      <protection locked="0"/>
    </xf>
    <xf numFmtId="3" fontId="31" fillId="0" borderId="1305" xfId="6" applyNumberFormat="1" applyFont="1" applyFill="1" applyBorder="1" applyAlignment="1" applyProtection="1">
      <alignment vertical="center"/>
      <protection locked="0"/>
    </xf>
    <xf numFmtId="4" fontId="31" fillId="0" borderId="1305" xfId="6" applyNumberFormat="1" applyFont="1" applyFill="1" applyBorder="1" applyAlignment="1" applyProtection="1">
      <alignment vertical="center"/>
      <protection locked="0"/>
    </xf>
    <xf numFmtId="10" fontId="31" fillId="0" borderId="1303" xfId="1" applyNumberFormat="1" applyFont="1" applyFill="1" applyBorder="1" applyAlignment="1" applyProtection="1">
      <alignment horizontal="right" vertical="center"/>
      <protection locked="0"/>
    </xf>
    <xf numFmtId="3" fontId="32" fillId="0" borderId="1305" xfId="6" applyNumberFormat="1" applyFont="1" applyFill="1" applyBorder="1" applyAlignment="1" applyProtection="1">
      <alignment horizontal="right" vertical="center"/>
      <protection locked="0"/>
    </xf>
    <xf numFmtId="4" fontId="32" fillId="0" borderId="1305" xfId="6" applyNumberFormat="1" applyFont="1" applyFill="1" applyBorder="1" applyAlignment="1" applyProtection="1">
      <alignment horizontal="right" vertical="center"/>
      <protection locked="0"/>
    </xf>
    <xf numFmtId="49" fontId="31" fillId="17" borderId="1323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305" xfId="7" applyNumberFormat="1" applyFont="1" applyBorder="1" applyAlignment="1">
      <alignment horizontal="right" vertical="center"/>
    </xf>
    <xf numFmtId="4" fontId="31" fillId="0" borderId="1305" xfId="7" applyNumberFormat="1" applyFont="1" applyBorder="1" applyAlignment="1">
      <alignment horizontal="right" vertical="center"/>
    </xf>
    <xf numFmtId="49" fontId="31" fillId="17" borderId="132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26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61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1305" xfId="6" applyNumberFormat="1" applyFont="1" applyFill="1" applyBorder="1" applyAlignment="1" applyProtection="1">
      <alignment horizontal="right" vertical="center"/>
      <protection locked="0"/>
    </xf>
    <xf numFmtId="4" fontId="31" fillId="0" borderId="1305" xfId="6" applyNumberFormat="1" applyFont="1" applyFill="1" applyBorder="1" applyAlignment="1" applyProtection="1">
      <alignment horizontal="right" vertical="center"/>
      <protection locked="0"/>
    </xf>
    <xf numFmtId="49" fontId="31" fillId="17" borderId="132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32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8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91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4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9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308" xfId="6" applyNumberFormat="1" applyFont="1" applyFill="1" applyBorder="1" applyAlignment="1" applyProtection="1">
      <alignment horizontal="left" vertical="center" wrapText="1"/>
      <protection locked="0"/>
    </xf>
    <xf numFmtId="3" fontId="31" fillId="0" borderId="422" xfId="6" applyNumberFormat="1" applyFont="1" applyFill="1" applyBorder="1" applyAlignment="1" applyProtection="1">
      <alignment vertical="center"/>
      <protection locked="0"/>
    </xf>
    <xf numFmtId="4" fontId="31" fillId="0" borderId="422" xfId="6" applyNumberFormat="1" applyFont="1" applyFill="1" applyBorder="1" applyAlignment="1" applyProtection="1">
      <alignment vertical="center"/>
      <protection locked="0"/>
    </xf>
    <xf numFmtId="3" fontId="5" fillId="0" borderId="422" xfId="6" applyNumberFormat="1" applyFont="1" applyFill="1" applyBorder="1" applyAlignment="1" applyProtection="1">
      <alignment vertical="center"/>
      <protection locked="0"/>
    </xf>
    <xf numFmtId="4" fontId="5" fillId="0" borderId="422" xfId="6" applyNumberFormat="1" applyFont="1" applyFill="1" applyBorder="1" applyAlignment="1" applyProtection="1">
      <alignment vertical="center"/>
      <protection locked="0"/>
    </xf>
    <xf numFmtId="3" fontId="13" fillId="0" borderId="422" xfId="6" applyNumberFormat="1" applyFont="1" applyFill="1" applyBorder="1" applyAlignment="1" applyProtection="1">
      <alignment vertical="center"/>
      <protection locked="0"/>
    </xf>
    <xf numFmtId="4" fontId="13" fillId="0" borderId="422" xfId="6" applyNumberFormat="1" applyFont="1" applyFill="1" applyBorder="1" applyAlignment="1" applyProtection="1">
      <alignment vertical="center"/>
      <protection locked="0"/>
    </xf>
    <xf numFmtId="49" fontId="31" fillId="17" borderId="1327" xfId="6" applyNumberFormat="1" applyFont="1" applyFill="1" applyBorder="1" applyAlignment="1" applyProtection="1">
      <alignment horizontal="center" vertical="center" wrapText="1"/>
      <protection locked="0"/>
    </xf>
    <xf numFmtId="10" fontId="31" fillId="0" borderId="406" xfId="1" applyNumberFormat="1" applyFont="1" applyFill="1" applyBorder="1" applyAlignment="1" applyProtection="1">
      <alignment horizontal="right" vertical="center"/>
      <protection locked="0"/>
    </xf>
    <xf numFmtId="3" fontId="32" fillId="0" borderId="422" xfId="6" applyNumberFormat="1" applyFont="1" applyFill="1" applyBorder="1" applyAlignment="1" applyProtection="1">
      <alignment vertical="center"/>
      <protection locked="0"/>
    </xf>
    <xf numFmtId="4" fontId="32" fillId="0" borderId="422" xfId="6" applyNumberFormat="1" applyFont="1" applyFill="1" applyBorder="1" applyAlignment="1" applyProtection="1">
      <alignment vertical="center"/>
      <protection locked="0"/>
    </xf>
    <xf numFmtId="3" fontId="5" fillId="0" borderId="1318" xfId="6" applyNumberFormat="1" applyFont="1" applyFill="1" applyBorder="1" applyAlignment="1" applyProtection="1">
      <alignment horizontal="right" vertical="center"/>
      <protection locked="0"/>
    </xf>
    <xf numFmtId="3" fontId="16" fillId="0" borderId="1318" xfId="6" applyNumberFormat="1" applyFont="1" applyFill="1" applyBorder="1" applyAlignment="1" applyProtection="1">
      <alignment horizontal="right" vertical="center"/>
      <protection locked="0"/>
    </xf>
    <xf numFmtId="4" fontId="16" fillId="0" borderId="1318" xfId="6" applyNumberFormat="1" applyFont="1" applyFill="1" applyBorder="1" applyAlignment="1" applyProtection="1">
      <alignment horizontal="right" vertical="center"/>
      <protection locked="0"/>
    </xf>
    <xf numFmtId="49" fontId="5" fillId="17" borderId="132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32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329" xfId="6" applyNumberFormat="1" applyFont="1" applyFill="1" applyBorder="1" applyAlignment="1" applyProtection="1">
      <alignment horizontal="left" vertical="center" wrapText="1"/>
      <protection locked="0"/>
    </xf>
    <xf numFmtId="3" fontId="5" fillId="0" borderId="422" xfId="6" applyNumberFormat="1" applyFont="1" applyFill="1" applyBorder="1" applyAlignment="1" applyProtection="1">
      <alignment horizontal="right" vertical="center"/>
      <protection locked="0"/>
    </xf>
    <xf numFmtId="4" fontId="5" fillId="0" borderId="422" xfId="6" applyNumberFormat="1" applyFont="1" applyFill="1" applyBorder="1" applyAlignment="1" applyProtection="1">
      <alignment horizontal="right" vertical="center"/>
      <protection locked="0"/>
    </xf>
    <xf numFmtId="49" fontId="5" fillId="17" borderId="130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304" xfId="6" applyNumberFormat="1" applyFont="1" applyFill="1" applyBorder="1" applyAlignment="1" applyProtection="1">
      <alignment horizontal="left" vertical="center" wrapText="1"/>
      <protection locked="0"/>
    </xf>
    <xf numFmtId="3" fontId="16" fillId="0" borderId="1305" xfId="6" applyNumberFormat="1" applyFont="1" applyFill="1" applyBorder="1" applyAlignment="1" applyProtection="1">
      <alignment horizontal="right" vertical="center"/>
      <protection locked="0"/>
    </xf>
    <xf numFmtId="4" fontId="16" fillId="0" borderId="1305" xfId="6" applyNumberFormat="1" applyFont="1" applyFill="1" applyBorder="1" applyAlignment="1" applyProtection="1">
      <alignment horizontal="right" vertical="center"/>
      <protection locked="0"/>
    </xf>
    <xf numFmtId="10" fontId="16" fillId="0" borderId="1303" xfId="1" applyNumberFormat="1" applyFont="1" applyFill="1" applyBorder="1" applyAlignment="1" applyProtection="1">
      <alignment horizontal="right" vertical="center"/>
      <protection locked="0"/>
    </xf>
    <xf numFmtId="49" fontId="5" fillId="17" borderId="129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0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0" xfId="6" applyNumberFormat="1" applyFont="1" applyFill="1" applyBorder="1" applyAlignment="1" applyProtection="1">
      <alignment vertical="center" wrapText="1"/>
      <protection locked="0"/>
    </xf>
    <xf numFmtId="49" fontId="5" fillId="17" borderId="1321" xfId="6" applyNumberFormat="1" applyFont="1" applyFill="1" applyBorder="1" applyAlignment="1" applyProtection="1">
      <alignment vertical="center" wrapText="1"/>
      <protection locked="0"/>
    </xf>
    <xf numFmtId="10" fontId="16" fillId="0" borderId="406" xfId="1" applyNumberFormat="1" applyFont="1" applyFill="1" applyBorder="1" applyAlignment="1" applyProtection="1">
      <alignment horizontal="right" vertical="center"/>
      <protection locked="0"/>
    </xf>
    <xf numFmtId="3" fontId="5" fillId="0" borderId="1305" xfId="6" applyNumberFormat="1" applyFont="1" applyFill="1" applyBorder="1" applyAlignment="1" applyProtection="1">
      <alignment vertical="center"/>
      <protection locked="0"/>
    </xf>
    <xf numFmtId="4" fontId="5" fillId="0" borderId="1305" xfId="6" applyNumberFormat="1" applyFont="1" applyFill="1" applyBorder="1" applyAlignment="1" applyProtection="1">
      <alignment vertical="center"/>
      <protection locked="0"/>
    </xf>
    <xf numFmtId="2" fontId="5" fillId="0" borderId="1328" xfId="6" applyNumberFormat="1" applyFont="1" applyFill="1" applyBorder="1" applyAlignment="1" applyProtection="1">
      <alignment horizontal="left" vertical="center" wrapText="1"/>
      <protection locked="0"/>
    </xf>
    <xf numFmtId="3" fontId="5" fillId="0" borderId="1305" xfId="7" applyNumberFormat="1" applyFont="1" applyBorder="1" applyAlignment="1">
      <alignment vertical="center" wrapText="1"/>
    </xf>
    <xf numFmtId="4" fontId="5" fillId="0" borderId="1305" xfId="7" applyNumberFormat="1" applyFont="1" applyBorder="1" applyAlignment="1">
      <alignment vertical="center" wrapText="1"/>
    </xf>
    <xf numFmtId="2" fontId="5" fillId="0" borderId="406" xfId="6" applyNumberFormat="1" applyFont="1" applyFill="1" applyBorder="1" applyAlignment="1" applyProtection="1">
      <alignment horizontal="left" vertical="center" wrapText="1"/>
      <protection locked="0"/>
    </xf>
    <xf numFmtId="0" fontId="46" fillId="0" borderId="109" xfId="0" applyFont="1" applyBorder="1" applyAlignment="1">
      <alignment vertical="top" wrapText="1"/>
    </xf>
    <xf numFmtId="49" fontId="45" fillId="6" borderId="1179" xfId="4" applyNumberFormat="1" applyFont="1" applyFill="1" applyBorder="1" applyAlignment="1">
      <alignment horizontal="center" vertical="center"/>
    </xf>
    <xf numFmtId="3" fontId="45" fillId="6" borderId="1188" xfId="4" applyNumberFormat="1" applyFont="1" applyFill="1" applyBorder="1" applyAlignment="1">
      <alignment horizontal="right" vertical="center" wrapText="1"/>
    </xf>
    <xf numFmtId="49" fontId="44" fillId="0" borderId="14" xfId="4" applyNumberFormat="1" applyFont="1" applyBorder="1" applyAlignment="1">
      <alignment vertical="center" wrapText="1"/>
    </xf>
    <xf numFmtId="4" fontId="9" fillId="3" borderId="950" xfId="4" applyNumberFormat="1" applyFont="1" applyFill="1" applyBorder="1" applyAlignment="1">
      <alignment horizontal="right" vertical="center" wrapText="1"/>
    </xf>
    <xf numFmtId="4" fontId="44" fillId="0" borderId="1309" xfId="4" applyNumberFormat="1" applyFont="1" applyBorder="1" applyAlignment="1">
      <alignment horizontal="right" vertical="center" wrapText="1"/>
    </xf>
    <xf numFmtId="4" fontId="47" fillId="3" borderId="1316" xfId="4" applyNumberFormat="1" applyFont="1" applyFill="1" applyBorder="1" applyAlignment="1">
      <alignment horizontal="right" vertical="center" wrapText="1"/>
    </xf>
    <xf numFmtId="4" fontId="46" fillId="6" borderId="1316" xfId="4" applyNumberFormat="1" applyFont="1" applyFill="1" applyBorder="1" applyAlignment="1">
      <alignment horizontal="right" vertical="center" wrapText="1"/>
    </xf>
    <xf numFmtId="4" fontId="45" fillId="6" borderId="1316" xfId="4" applyNumberFormat="1" applyFont="1" applyFill="1" applyBorder="1" applyAlignment="1">
      <alignment horizontal="right" vertical="center" wrapText="1"/>
    </xf>
    <xf numFmtId="3" fontId="9" fillId="3" borderId="950" xfId="4" applyNumberFormat="1" applyFont="1" applyFill="1" applyBorder="1" applyAlignment="1">
      <alignment horizontal="right" vertical="center" wrapText="1"/>
    </xf>
    <xf numFmtId="3" fontId="44" fillId="6" borderId="1309" xfId="4" applyNumberFormat="1" applyFont="1" applyFill="1" applyBorder="1" applyAlignment="1">
      <alignment vertical="center" wrapText="1"/>
    </xf>
    <xf numFmtId="3" fontId="47" fillId="3" borderId="1316" xfId="4" applyNumberFormat="1" applyFont="1" applyFill="1" applyBorder="1" applyAlignment="1">
      <alignment horizontal="right" vertical="center" wrapText="1"/>
    </xf>
    <xf numFmtId="3" fontId="9" fillId="3" borderId="422" xfId="4" applyNumberFormat="1" applyFont="1" applyFill="1" applyBorder="1" applyAlignment="1">
      <alignment horizontal="right" vertical="center" wrapText="1"/>
    </xf>
    <xf numFmtId="3" fontId="47" fillId="3" borderId="1305" xfId="4" applyNumberFormat="1" applyFont="1" applyFill="1" applyBorder="1" applyAlignment="1">
      <alignment horizontal="right" vertical="center" wrapText="1"/>
    </xf>
    <xf numFmtId="49" fontId="44" fillId="6" borderId="1305" xfId="4" applyNumberFormat="1" applyFont="1" applyFill="1" applyBorder="1" applyAlignment="1">
      <alignment horizontal="center" vertical="center"/>
    </xf>
    <xf numFmtId="3" fontId="44" fillId="6" borderId="1316" xfId="4" applyNumberFormat="1" applyFont="1" applyFill="1" applyBorder="1" applyAlignment="1">
      <alignment horizontal="right" vertical="center" wrapText="1"/>
    </xf>
    <xf numFmtId="4" fontId="9" fillId="3" borderId="422" xfId="4" applyNumberFormat="1" applyFont="1" applyFill="1" applyBorder="1" applyAlignment="1">
      <alignment horizontal="right" vertical="center" wrapText="1"/>
    </xf>
    <xf numFmtId="4" fontId="47" fillId="3" borderId="1305" xfId="4" applyNumberFormat="1" applyFont="1" applyFill="1" applyBorder="1" applyAlignment="1">
      <alignment horizontal="right" vertical="center" wrapText="1"/>
    </xf>
    <xf numFmtId="4" fontId="44" fillId="0" borderId="1308" xfId="4" applyNumberFormat="1" applyFont="1" applyBorder="1" applyAlignment="1">
      <alignment horizontal="right" vertical="center"/>
    </xf>
    <xf numFmtId="4" fontId="44" fillId="0" borderId="1309" xfId="4" applyNumberFormat="1" applyFont="1" applyBorder="1" applyAlignment="1">
      <alignment horizontal="right" vertical="center"/>
    </xf>
    <xf numFmtId="4" fontId="44" fillId="6" borderId="1316" xfId="4" applyNumberFormat="1" applyFont="1" applyFill="1" applyBorder="1" applyAlignment="1">
      <alignment horizontal="right" vertical="center"/>
    </xf>
    <xf numFmtId="4" fontId="44" fillId="6" borderId="7" xfId="4" applyNumberFormat="1" applyFont="1" applyFill="1" applyBorder="1" applyAlignment="1">
      <alignment vertical="center" wrapText="1"/>
    </xf>
    <xf numFmtId="4" fontId="44" fillId="6" borderId="1271" xfId="4" applyNumberFormat="1" applyFont="1" applyFill="1" applyBorder="1" applyAlignment="1">
      <alignment vertical="center" wrapText="1"/>
    </xf>
    <xf numFmtId="4" fontId="44" fillId="6" borderId="118" xfId="4" applyNumberFormat="1" applyFont="1" applyFill="1" applyBorder="1" applyAlignment="1">
      <alignment horizontal="right" vertical="center"/>
    </xf>
    <xf numFmtId="49" fontId="9" fillId="3" borderId="422" xfId="4" applyNumberFormat="1" applyFont="1" applyFill="1" applyBorder="1" applyAlignment="1">
      <alignment horizontal="center" vertical="center"/>
    </xf>
    <xf numFmtId="49" fontId="9" fillId="3" borderId="422" xfId="4" applyNumberFormat="1" applyFont="1" applyFill="1" applyBorder="1" applyAlignment="1">
      <alignment horizontal="left" vertical="center" wrapText="1"/>
    </xf>
    <xf numFmtId="49" fontId="9" fillId="3" borderId="950" xfId="4" applyNumberFormat="1" applyFont="1" applyFill="1" applyBorder="1" applyAlignment="1">
      <alignment horizontal="center" vertical="center"/>
    </xf>
    <xf numFmtId="49" fontId="44" fillId="0" borderId="1305" xfId="4" applyNumberFormat="1" applyFont="1" applyBorder="1" applyAlignment="1">
      <alignment horizontal="center" vertical="center"/>
    </xf>
    <xf numFmtId="49" fontId="44" fillId="0" borderId="1305" xfId="4" applyNumberFormat="1" applyFont="1" applyBorder="1" applyAlignment="1">
      <alignment horizontal="center" vertical="center" wrapText="1"/>
    </xf>
    <xf numFmtId="49" fontId="44" fillId="0" borderId="1316" xfId="4" applyNumberFormat="1" applyFont="1" applyBorder="1" applyAlignment="1">
      <alignment horizontal="center" vertical="center"/>
    </xf>
    <xf numFmtId="3" fontId="44" fillId="0" borderId="1305" xfId="4" applyNumberFormat="1" applyFont="1" applyBorder="1" applyAlignment="1">
      <alignment horizontal="right" vertical="center" wrapText="1"/>
    </xf>
    <xf numFmtId="4" fontId="44" fillId="0" borderId="1316" xfId="4" applyNumberFormat="1" applyFont="1" applyBorder="1" applyAlignment="1">
      <alignment horizontal="right" vertical="center" wrapText="1"/>
    </xf>
    <xf numFmtId="3" fontId="44" fillId="6" borderId="1316" xfId="4" applyNumberFormat="1" applyFont="1" applyFill="1" applyBorder="1" applyAlignment="1">
      <alignment vertical="center" wrapText="1"/>
    </xf>
    <xf numFmtId="4" fontId="44" fillId="6" borderId="1316" xfId="4" applyNumberFormat="1" applyFont="1" applyFill="1" applyBorder="1" applyAlignment="1">
      <alignment vertical="center" wrapText="1"/>
    </xf>
    <xf numFmtId="4" fontId="44" fillId="0" borderId="1305" xfId="4" applyNumberFormat="1" applyFont="1" applyBorder="1" applyAlignment="1">
      <alignment horizontal="right" vertical="center"/>
    </xf>
    <xf numFmtId="0" fontId="5" fillId="6" borderId="1313" xfId="2" applyFont="1" applyFill="1" applyBorder="1" applyAlignment="1">
      <alignment horizontal="left" vertical="center" wrapText="1"/>
    </xf>
    <xf numFmtId="0" fontId="5" fillId="6" borderId="1314" xfId="2" applyFont="1" applyFill="1" applyBorder="1" applyAlignment="1">
      <alignment horizontal="left" vertical="center" wrapText="1"/>
    </xf>
    <xf numFmtId="0" fontId="13" fillId="5" borderId="950" xfId="2" applyFont="1" applyFill="1" applyBorder="1" applyAlignment="1">
      <alignment horizontal="left" vertical="center" wrapText="1"/>
    </xf>
    <xf numFmtId="0" fontId="13" fillId="5" borderId="950" xfId="2" quotePrefix="1" applyFont="1" applyFill="1" applyBorder="1" applyAlignment="1">
      <alignment horizontal="left" vertical="center" wrapText="1"/>
    </xf>
    <xf numFmtId="0" fontId="13" fillId="5" borderId="1310" xfId="2" applyFont="1" applyFill="1" applyBorder="1" applyAlignment="1">
      <alignment horizontal="left" vertical="center" wrapText="1"/>
    </xf>
    <xf numFmtId="0" fontId="13" fillId="5" borderId="1307" xfId="2" quotePrefix="1" applyFont="1" applyFill="1" applyBorder="1" applyAlignment="1">
      <alignment horizontal="left" vertical="center" wrapText="1"/>
    </xf>
    <xf numFmtId="0" fontId="13" fillId="5" borderId="164" xfId="4" applyFont="1" applyFill="1" applyBorder="1" applyAlignment="1">
      <alignment horizontal="left" vertical="center" wrapText="1"/>
    </xf>
    <xf numFmtId="0" fontId="13" fillId="5" borderId="165" xfId="4" applyFont="1" applyFill="1" applyBorder="1" applyAlignment="1">
      <alignment horizontal="left" vertical="center" wrapText="1"/>
    </xf>
    <xf numFmtId="0" fontId="5" fillId="0" borderId="186" xfId="2" applyFont="1" applyBorder="1" applyAlignment="1">
      <alignment horizontal="left" vertical="center" wrapText="1"/>
    </xf>
    <xf numFmtId="0" fontId="5" fillId="0" borderId="185" xfId="2" applyFont="1" applyBorder="1" applyAlignment="1">
      <alignment horizontal="left" vertical="center" wrapText="1"/>
    </xf>
    <xf numFmtId="0" fontId="13" fillId="5" borderId="1" xfId="4" applyFont="1" applyFill="1" applyBorder="1" applyAlignment="1">
      <alignment horizontal="left" vertical="center" wrapText="1"/>
    </xf>
    <xf numFmtId="0" fontId="13" fillId="5" borderId="105" xfId="4" applyFont="1" applyFill="1" applyBorder="1" applyAlignment="1">
      <alignment horizontal="left" vertical="center" wrapText="1"/>
    </xf>
    <xf numFmtId="0" fontId="5" fillId="0" borderId="14" xfId="4" applyFont="1" applyBorder="1" applyAlignment="1">
      <alignment horizontal="left" vertical="center" wrapText="1"/>
    </xf>
    <xf numFmtId="0" fontId="5" fillId="0" borderId="181" xfId="4" applyFont="1" applyBorder="1" applyAlignment="1">
      <alignment horizontal="left" vertical="center" wrapText="1"/>
    </xf>
    <xf numFmtId="0" fontId="13" fillId="5" borderId="144" xfId="4" applyFont="1" applyFill="1" applyBorder="1" applyAlignment="1">
      <alignment horizontal="left" vertical="center" wrapText="1"/>
    </xf>
    <xf numFmtId="0" fontId="13" fillId="5" borderId="161" xfId="4" applyFont="1" applyFill="1" applyBorder="1" applyAlignment="1">
      <alignment horizontal="left" vertical="center" wrapText="1"/>
    </xf>
    <xf numFmtId="0" fontId="13" fillId="5" borderId="184" xfId="4" applyFont="1" applyFill="1" applyBorder="1" applyAlignment="1">
      <alignment horizontal="left" vertical="center" wrapText="1"/>
    </xf>
    <xf numFmtId="0" fontId="13" fillId="5" borderId="185" xfId="4" applyFont="1" applyFill="1" applyBorder="1" applyAlignment="1">
      <alignment horizontal="left" vertical="center" wrapText="1"/>
    </xf>
    <xf numFmtId="0" fontId="76" fillId="5" borderId="1" xfId="4" applyFont="1" applyFill="1" applyBorder="1" applyAlignment="1">
      <alignment horizontal="left" vertical="center" wrapText="1"/>
    </xf>
    <xf numFmtId="0" fontId="76" fillId="5" borderId="26" xfId="4" applyFont="1" applyFill="1" applyBorder="1" applyAlignment="1">
      <alignment horizontal="left" vertical="center" wrapText="1"/>
    </xf>
    <xf numFmtId="0" fontId="13" fillId="5" borderId="164" xfId="2" applyFont="1" applyFill="1" applyBorder="1" applyAlignment="1">
      <alignment horizontal="left" vertical="center" wrapText="1"/>
    </xf>
    <xf numFmtId="0" fontId="13" fillId="5" borderId="163" xfId="2" applyFont="1" applyFill="1" applyBorder="1" applyAlignment="1">
      <alignment horizontal="left" vertical="center" wrapText="1"/>
    </xf>
    <xf numFmtId="0" fontId="13" fillId="5" borderId="8" xfId="2" applyFont="1" applyFill="1" applyBorder="1" applyAlignment="1">
      <alignment horizontal="left" vertical="center" wrapText="1"/>
    </xf>
    <xf numFmtId="0" fontId="13" fillId="5" borderId="1" xfId="2" quotePrefix="1" applyFont="1" applyFill="1" applyBorder="1" applyAlignment="1">
      <alignment horizontal="left" vertical="center" wrapText="1"/>
    </xf>
    <xf numFmtId="0" fontId="5" fillId="0" borderId="147" xfId="2" quotePrefix="1" applyFont="1" applyBorder="1" applyAlignment="1">
      <alignment horizontal="left" vertical="center" wrapText="1"/>
    </xf>
    <xf numFmtId="0" fontId="5" fillId="0" borderId="7" xfId="2" quotePrefix="1" applyFont="1" applyBorder="1" applyAlignment="1">
      <alignment horizontal="left" vertical="center" wrapText="1"/>
    </xf>
    <xf numFmtId="0" fontId="13" fillId="5" borderId="163" xfId="4" applyFont="1" applyFill="1" applyBorder="1" applyAlignment="1">
      <alignment horizontal="left" vertical="center" wrapText="1"/>
    </xf>
    <xf numFmtId="0" fontId="15" fillId="0" borderId="14" xfId="4" applyFont="1" applyBorder="1" applyAlignment="1">
      <alignment horizontal="center" vertical="center" wrapText="1"/>
    </xf>
    <xf numFmtId="0" fontId="13" fillId="5" borderId="189" xfId="4" applyFont="1" applyFill="1" applyBorder="1" applyAlignment="1">
      <alignment horizontal="left" vertical="center" wrapText="1"/>
    </xf>
    <xf numFmtId="0" fontId="13" fillId="5" borderId="190" xfId="4" applyFont="1" applyFill="1" applyBorder="1" applyAlignment="1">
      <alignment horizontal="left" vertical="center" wrapText="1"/>
    </xf>
    <xf numFmtId="0" fontId="13" fillId="5" borderId="0" xfId="4" applyFont="1" applyFill="1" applyAlignment="1">
      <alignment horizontal="left" vertical="center" wrapText="1"/>
    </xf>
    <xf numFmtId="0" fontId="13" fillId="5" borderId="168" xfId="4" applyFont="1" applyFill="1" applyBorder="1" applyAlignment="1">
      <alignment horizontal="left" vertical="center" wrapText="1"/>
    </xf>
    <xf numFmtId="0" fontId="13" fillId="5" borderId="180" xfId="4" applyFont="1" applyFill="1" applyBorder="1" applyAlignment="1">
      <alignment horizontal="left" vertical="center" wrapText="1"/>
    </xf>
    <xf numFmtId="0" fontId="97" fillId="0" borderId="1313" xfId="4" quotePrefix="1" applyFont="1" applyBorder="1" applyAlignment="1">
      <alignment horizontal="left" vertical="center" wrapText="1"/>
    </xf>
    <xf numFmtId="0" fontId="97" fillId="0" borderId="1314" xfId="4" quotePrefix="1" applyFont="1" applyBorder="1" applyAlignment="1">
      <alignment horizontal="left" vertical="center" wrapText="1"/>
    </xf>
    <xf numFmtId="0" fontId="32" fillId="5" borderId="180" xfId="4" applyFont="1" applyFill="1" applyBorder="1" applyAlignment="1">
      <alignment horizontal="left" vertical="center" wrapText="1"/>
    </xf>
    <xf numFmtId="49" fontId="5" fillId="6" borderId="147" xfId="4" applyNumberFormat="1" applyFont="1" applyFill="1" applyBorder="1" applyAlignment="1">
      <alignment horizontal="center" vertical="center" wrapText="1"/>
    </xf>
    <xf numFmtId="49" fontId="5" fillId="6" borderId="181" xfId="4" applyNumberFormat="1" applyFont="1" applyFill="1" applyBorder="1" applyAlignment="1">
      <alignment horizontal="center" vertical="center" wrapText="1"/>
    </xf>
    <xf numFmtId="0" fontId="13" fillId="0" borderId="147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181" xfId="4" applyFont="1" applyBorder="1" applyAlignment="1">
      <alignment horizontal="center" vertical="center" wrapText="1"/>
    </xf>
    <xf numFmtId="0" fontId="5" fillId="6" borderId="147" xfId="4" applyFont="1" applyFill="1" applyBorder="1" applyAlignment="1">
      <alignment horizontal="left" vertical="center" wrapText="1"/>
    </xf>
    <xf numFmtId="0" fontId="5" fillId="6" borderId="181" xfId="4" applyFont="1" applyFill="1" applyBorder="1" applyAlignment="1">
      <alignment horizontal="left" vertical="center" wrapText="1"/>
    </xf>
    <xf numFmtId="0" fontId="5" fillId="0" borderId="147" xfId="4" applyFont="1" applyBorder="1" applyAlignment="1">
      <alignment horizontal="center" vertical="center" wrapText="1"/>
    </xf>
    <xf numFmtId="0" fontId="5" fillId="0" borderId="181" xfId="4" applyFont="1" applyBorder="1" applyAlignment="1">
      <alignment horizontal="center" vertical="center" wrapText="1"/>
    </xf>
    <xf numFmtId="0" fontId="13" fillId="5" borderId="157" xfId="4" applyFont="1" applyFill="1" applyBorder="1" applyAlignment="1">
      <alignment horizontal="left" vertical="center" wrapText="1"/>
    </xf>
    <xf numFmtId="0" fontId="13" fillId="5" borderId="128" xfId="4" applyFont="1" applyFill="1" applyBorder="1" applyAlignment="1">
      <alignment horizontal="left" vertical="center" wrapText="1"/>
    </xf>
    <xf numFmtId="0" fontId="5" fillId="6" borderId="147" xfId="4" applyFont="1" applyFill="1" applyBorder="1" applyAlignment="1">
      <alignment horizontal="center" vertical="center" wrapText="1"/>
    </xf>
    <xf numFmtId="0" fontId="5" fillId="6" borderId="181" xfId="4" applyFont="1" applyFill="1" applyBorder="1" applyAlignment="1">
      <alignment horizontal="center" vertical="center" wrapText="1"/>
    </xf>
    <xf numFmtId="0" fontId="13" fillId="5" borderId="188" xfId="4" applyFont="1" applyFill="1" applyBorder="1" applyAlignment="1">
      <alignment horizontal="left" vertical="center" wrapText="1"/>
    </xf>
    <xf numFmtId="0" fontId="13" fillId="5" borderId="37" xfId="4" applyFont="1" applyFill="1" applyBorder="1" applyAlignment="1">
      <alignment horizontal="left" vertical="center" wrapText="1"/>
    </xf>
    <xf numFmtId="0" fontId="13" fillId="5" borderId="182" xfId="4" applyFont="1" applyFill="1" applyBorder="1" applyAlignment="1">
      <alignment horizontal="left" vertical="center" wrapText="1"/>
    </xf>
    <xf numFmtId="0" fontId="13" fillId="5" borderId="35" xfId="4" applyFont="1" applyFill="1" applyBorder="1" applyAlignment="1">
      <alignment horizontal="left" vertical="center" wrapText="1"/>
    </xf>
    <xf numFmtId="0" fontId="13" fillId="6" borderId="147" xfId="4" applyFont="1" applyFill="1" applyBorder="1" applyAlignment="1">
      <alignment horizontal="center" vertical="center" wrapText="1"/>
    </xf>
    <xf numFmtId="0" fontId="13" fillId="6" borderId="14" xfId="4" applyFont="1" applyFill="1" applyBorder="1" applyAlignment="1">
      <alignment horizontal="center" vertical="center" wrapText="1"/>
    </xf>
    <xf numFmtId="0" fontId="5" fillId="6" borderId="14" xfId="4" applyFont="1" applyFill="1" applyBorder="1" applyAlignment="1">
      <alignment horizontal="center" vertical="center" wrapText="1"/>
    </xf>
    <xf numFmtId="0" fontId="5" fillId="0" borderId="147" xfId="4" quotePrefix="1" applyFont="1" applyBorder="1" applyAlignment="1">
      <alignment horizontal="left" vertical="center" wrapText="1"/>
    </xf>
    <xf numFmtId="0" fontId="32" fillId="5" borderId="1" xfId="4" applyFont="1" applyFill="1" applyBorder="1" applyAlignment="1">
      <alignment horizontal="left" vertical="center" wrapText="1"/>
    </xf>
    <xf numFmtId="0" fontId="32" fillId="5" borderId="168" xfId="4" applyFont="1" applyFill="1" applyBorder="1" applyAlignment="1">
      <alignment horizontal="left" vertical="center" wrapText="1"/>
    </xf>
    <xf numFmtId="0" fontId="15" fillId="0" borderId="147" xfId="4" applyFont="1" applyBorder="1" applyAlignment="1">
      <alignment horizontal="center" vertical="center" wrapText="1"/>
    </xf>
    <xf numFmtId="0" fontId="32" fillId="5" borderId="144" xfId="4" applyFont="1" applyFill="1" applyBorder="1" applyAlignment="1">
      <alignment horizontal="left" vertical="center" wrapText="1"/>
    </xf>
    <xf numFmtId="0" fontId="91" fillId="5" borderId="168" xfId="4" applyFont="1" applyFill="1" applyBorder="1" applyAlignment="1">
      <alignment horizontal="left" vertical="center" wrapText="1"/>
    </xf>
    <xf numFmtId="0" fontId="10" fillId="6" borderId="14" xfId="4" applyFont="1" applyFill="1" applyBorder="1" applyAlignment="1">
      <alignment horizontal="center" vertical="center" wrapText="1"/>
    </xf>
    <xf numFmtId="0" fontId="5" fillId="0" borderId="147" xfId="4" applyFont="1" applyBorder="1" applyAlignment="1">
      <alignment horizontal="left" vertical="center" wrapText="1"/>
    </xf>
    <xf numFmtId="0" fontId="8" fillId="0" borderId="178" xfId="2" applyFont="1" applyBorder="1" applyAlignment="1">
      <alignment horizontal="center"/>
    </xf>
    <xf numFmtId="0" fontId="8" fillId="0" borderId="14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13" fillId="5" borderId="55" xfId="4" applyFont="1" applyFill="1" applyBorder="1" applyAlignment="1">
      <alignment horizontal="left" vertical="center" wrapText="1"/>
    </xf>
    <xf numFmtId="0" fontId="13" fillId="5" borderId="38" xfId="4" applyFont="1" applyFill="1" applyBorder="1" applyAlignment="1">
      <alignment horizontal="left" vertical="center" wrapText="1"/>
    </xf>
    <xf numFmtId="0" fontId="5" fillId="0" borderId="181" xfId="4" quotePrefix="1" applyFont="1" applyBorder="1" applyAlignment="1">
      <alignment horizontal="left" vertical="center" wrapText="1"/>
    </xf>
    <xf numFmtId="0" fontId="31" fillId="0" borderId="14" xfId="4" applyFont="1" applyBorder="1" applyAlignment="1">
      <alignment horizontal="left" vertical="center" wrapText="1"/>
    </xf>
    <xf numFmtId="0" fontId="31" fillId="0" borderId="181" xfId="4" applyFont="1" applyBorder="1" applyAlignment="1">
      <alignment horizontal="left" vertical="center" wrapText="1"/>
    </xf>
    <xf numFmtId="0" fontId="25" fillId="0" borderId="178" xfId="4" applyFont="1" applyBorder="1" applyAlignment="1">
      <alignment horizontal="center" vertical="center" wrapText="1"/>
    </xf>
    <xf numFmtId="0" fontId="25" fillId="0" borderId="14" xfId="4" applyFont="1" applyBorder="1" applyAlignment="1">
      <alignment horizontal="center" vertical="center" wrapText="1"/>
    </xf>
    <xf numFmtId="0" fontId="25" fillId="0" borderId="7" xfId="4" applyFont="1" applyBorder="1" applyAlignment="1">
      <alignment horizontal="center" vertical="center" wrapText="1"/>
    </xf>
    <xf numFmtId="0" fontId="5" fillId="6" borderId="178" xfId="4" applyFont="1" applyFill="1" applyBorder="1" applyAlignment="1">
      <alignment horizontal="center" vertical="center" wrapText="1"/>
    </xf>
    <xf numFmtId="0" fontId="32" fillId="0" borderId="147" xfId="4" applyFont="1" applyBorder="1" applyAlignment="1">
      <alignment horizontal="center" vertical="center" wrapText="1"/>
    </xf>
    <xf numFmtId="0" fontId="32" fillId="0" borderId="14" xfId="4" applyFont="1" applyBorder="1" applyAlignment="1">
      <alignment horizontal="center" vertical="center" wrapText="1"/>
    </xf>
    <xf numFmtId="0" fontId="32" fillId="5" borderId="184" xfId="4" applyFont="1" applyFill="1" applyBorder="1" applyAlignment="1">
      <alignment horizontal="left" vertical="center" wrapText="1"/>
    </xf>
    <xf numFmtId="0" fontId="32" fillId="5" borderId="128" xfId="4" applyFont="1" applyFill="1" applyBorder="1" applyAlignment="1">
      <alignment horizontal="left" vertical="center" wrapText="1"/>
    </xf>
    <xf numFmtId="0" fontId="32" fillId="5" borderId="96" xfId="4" applyFont="1" applyFill="1" applyBorder="1" applyAlignment="1">
      <alignment horizontal="left" vertical="center" wrapText="1"/>
    </xf>
    <xf numFmtId="0" fontId="32" fillId="5" borderId="98" xfId="4" applyFont="1" applyFill="1" applyBorder="1" applyAlignment="1">
      <alignment horizontal="left" vertical="center" wrapText="1"/>
    </xf>
    <xf numFmtId="0" fontId="32" fillId="5" borderId="24" xfId="4" applyFont="1" applyFill="1" applyBorder="1" applyAlignment="1">
      <alignment horizontal="left" vertical="center" wrapText="1"/>
    </xf>
    <xf numFmtId="0" fontId="32" fillId="5" borderId="100" xfId="4" applyFont="1" applyFill="1" applyBorder="1" applyAlignment="1">
      <alignment horizontal="left" vertical="center" wrapText="1"/>
    </xf>
    <xf numFmtId="164" fontId="31" fillId="6" borderId="178" xfId="4" applyNumberFormat="1" applyFont="1" applyFill="1" applyBorder="1" applyAlignment="1">
      <alignment horizontal="left" vertical="center" wrapText="1"/>
    </xf>
    <xf numFmtId="164" fontId="1" fillId="6" borderId="181" xfId="0" applyNumberFormat="1" applyFont="1" applyFill="1" applyBorder="1" applyAlignment="1">
      <alignment horizontal="left" vertical="center" wrapText="1"/>
    </xf>
    <xf numFmtId="0" fontId="31" fillId="6" borderId="147" xfId="4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32" fillId="5" borderId="185" xfId="4" applyFont="1" applyFill="1" applyBorder="1" applyAlignment="1">
      <alignment horizontal="left" vertical="center" wrapText="1"/>
    </xf>
    <xf numFmtId="0" fontId="32" fillId="5" borderId="164" xfId="4" applyFont="1" applyFill="1" applyBorder="1" applyAlignment="1">
      <alignment horizontal="left" vertical="center" wrapText="1"/>
    </xf>
    <xf numFmtId="0" fontId="32" fillId="5" borderId="165" xfId="4" applyFont="1" applyFill="1" applyBorder="1" applyAlignment="1">
      <alignment horizontal="left" vertical="center" wrapText="1"/>
    </xf>
    <xf numFmtId="0" fontId="32" fillId="5" borderId="189" xfId="4" applyFont="1" applyFill="1" applyBorder="1" applyAlignment="1">
      <alignment horizontal="left" vertical="center" wrapText="1"/>
    </xf>
    <xf numFmtId="0" fontId="32" fillId="5" borderId="190" xfId="4" applyFont="1" applyFill="1" applyBorder="1" applyAlignment="1">
      <alignment horizontal="left" vertical="center" wrapText="1"/>
    </xf>
    <xf numFmtId="0" fontId="32" fillId="5" borderId="161" xfId="4" applyFont="1" applyFill="1" applyBorder="1" applyAlignment="1">
      <alignment horizontal="left" vertical="center" wrapText="1"/>
    </xf>
    <xf numFmtId="0" fontId="32" fillId="6" borderId="147" xfId="4" applyFont="1" applyFill="1" applyBorder="1" applyAlignment="1">
      <alignment horizontal="center" vertical="center" wrapText="1"/>
    </xf>
    <xf numFmtId="0" fontId="32" fillId="6" borderId="14" xfId="4" applyFont="1" applyFill="1" applyBorder="1" applyAlignment="1">
      <alignment horizontal="center" vertical="center" wrapText="1"/>
    </xf>
    <xf numFmtId="0" fontId="32" fillId="6" borderId="7" xfId="4" applyFont="1" applyFill="1" applyBorder="1" applyAlignment="1">
      <alignment horizontal="center" vertical="center" wrapText="1"/>
    </xf>
    <xf numFmtId="0" fontId="32" fillId="5" borderId="182" xfId="4" applyFont="1" applyFill="1" applyBorder="1" applyAlignment="1">
      <alignment horizontal="left" vertical="center" wrapText="1"/>
    </xf>
    <xf numFmtId="0" fontId="32" fillId="5" borderId="163" xfId="4" applyFont="1" applyFill="1" applyBorder="1" applyAlignment="1">
      <alignment horizontal="left" vertical="center" wrapText="1"/>
    </xf>
    <xf numFmtId="49" fontId="31" fillId="6" borderId="147" xfId="4" applyNumberFormat="1" applyFont="1" applyFill="1" applyBorder="1" applyAlignment="1">
      <alignment horizontal="center" vertical="center" wrapText="1"/>
    </xf>
    <xf numFmtId="49" fontId="31" fillId="6" borderId="14" xfId="4" applyNumberFormat="1" applyFont="1" applyFill="1" applyBorder="1" applyAlignment="1">
      <alignment horizontal="center" vertical="center" wrapText="1"/>
    </xf>
    <xf numFmtId="49" fontId="31" fillId="6" borderId="181" xfId="4" applyNumberFormat="1" applyFont="1" applyFill="1" applyBorder="1" applyAlignment="1">
      <alignment horizontal="center" vertical="center" wrapText="1"/>
    </xf>
    <xf numFmtId="0" fontId="15" fillId="0" borderId="157" xfId="4" applyFont="1" applyBorder="1" applyAlignment="1">
      <alignment horizontal="center" vertical="center" wrapText="1"/>
    </xf>
    <xf numFmtId="0" fontId="15" fillId="0" borderId="25" xfId="4" applyFont="1" applyBorder="1" applyAlignment="1">
      <alignment horizontal="center" vertical="center" wrapText="1"/>
    </xf>
    <xf numFmtId="0" fontId="15" fillId="0" borderId="182" xfId="4" applyFont="1" applyBorder="1" applyAlignment="1">
      <alignment horizontal="center" vertical="center" wrapText="1"/>
    </xf>
    <xf numFmtId="0" fontId="32" fillId="6" borderId="18" xfId="4" applyFont="1" applyFill="1" applyBorder="1" applyAlignment="1">
      <alignment horizontal="center" vertical="center" wrapText="1"/>
    </xf>
    <xf numFmtId="0" fontId="32" fillId="5" borderId="15" xfId="4" applyFont="1" applyFill="1" applyBorder="1" applyAlignment="1">
      <alignment horizontal="left" vertical="center" wrapText="1"/>
    </xf>
    <xf numFmtId="0" fontId="32" fillId="5" borderId="25" xfId="4" applyFont="1" applyFill="1" applyBorder="1" applyAlignment="1">
      <alignment horizontal="left" vertical="center" wrapText="1"/>
    </xf>
    <xf numFmtId="0" fontId="32" fillId="5" borderId="22" xfId="4" applyFont="1" applyFill="1" applyBorder="1" applyAlignment="1">
      <alignment horizontal="left" vertical="center" wrapText="1"/>
    </xf>
    <xf numFmtId="0" fontId="27" fillId="5" borderId="27" xfId="4" applyFont="1" applyFill="1" applyBorder="1" applyAlignment="1">
      <alignment horizontal="left" vertical="center"/>
    </xf>
    <xf numFmtId="0" fontId="24" fillId="0" borderId="26" xfId="2" applyFont="1" applyBorder="1" applyAlignment="1">
      <alignment horizontal="left" vertical="center"/>
    </xf>
    <xf numFmtId="0" fontId="13" fillId="5" borderId="24" xfId="4" applyFont="1" applyFill="1" applyBorder="1" applyAlignment="1">
      <alignment horizontal="left" vertical="center" wrapText="1"/>
    </xf>
    <xf numFmtId="0" fontId="13" fillId="5" borderId="15" xfId="4" applyFont="1" applyFill="1" applyBorder="1" applyAlignment="1">
      <alignment horizontal="left" vertical="center" wrapText="1"/>
    </xf>
    <xf numFmtId="0" fontId="13" fillId="6" borderId="18" xfId="4" applyFont="1" applyFill="1" applyBorder="1" applyAlignment="1">
      <alignment horizontal="center" vertical="center" wrapText="1"/>
    </xf>
    <xf numFmtId="0" fontId="13" fillId="6" borderId="16" xfId="4" applyFont="1" applyFill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13" fillId="5" borderId="27" xfId="4" applyFont="1" applyFill="1" applyBorder="1" applyAlignment="1">
      <alignment horizontal="left" vertical="center" wrapText="1"/>
    </xf>
    <xf numFmtId="0" fontId="13" fillId="5" borderId="26" xfId="4" applyFont="1" applyFill="1" applyBorder="1" applyAlignment="1">
      <alignment horizontal="left" vertical="center" wrapText="1"/>
    </xf>
    <xf numFmtId="0" fontId="9" fillId="2" borderId="12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66" fillId="5" borderId="21" xfId="4" applyFont="1" applyFill="1" applyBorder="1" applyAlignment="1">
      <alignment horizontal="left" vertical="center"/>
    </xf>
    <xf numFmtId="0" fontId="4" fillId="0" borderId="23" xfId="2" applyFont="1" applyBorder="1" applyAlignment="1">
      <alignment horizontal="left" vertical="center"/>
    </xf>
    <xf numFmtId="0" fontId="27" fillId="5" borderId="17" xfId="4" applyFont="1" applyFill="1" applyBorder="1" applyAlignment="1">
      <alignment horizontal="left" vertical="center"/>
    </xf>
    <xf numFmtId="0" fontId="24" fillId="0" borderId="22" xfId="2" applyFont="1" applyBorder="1" applyAlignment="1">
      <alignment horizontal="left" vertical="center"/>
    </xf>
    <xf numFmtId="0" fontId="5" fillId="6" borderId="1313" xfId="4" applyFont="1" applyFill="1" applyBorder="1" applyAlignment="1">
      <alignment horizontal="left" vertical="center" wrapText="1"/>
    </xf>
    <xf numFmtId="0" fontId="5" fillId="6" borderId="14" xfId="4" applyFont="1" applyFill="1" applyBorder="1" applyAlignment="1">
      <alignment horizontal="left" vertical="center" wrapText="1"/>
    </xf>
    <xf numFmtId="0" fontId="5" fillId="6" borderId="1314" xfId="4" applyFont="1" applyFill="1" applyBorder="1" applyAlignment="1">
      <alignment horizontal="left" vertical="center" wrapText="1"/>
    </xf>
    <xf numFmtId="0" fontId="10" fillId="6" borderId="14" xfId="2" applyFont="1" applyFill="1" applyBorder="1" applyAlignment="1">
      <alignment horizontal="center" vertical="center" wrapText="1"/>
    </xf>
    <xf numFmtId="0" fontId="10" fillId="6" borderId="7" xfId="2" applyFont="1" applyFill="1" applyBorder="1" applyAlignment="1">
      <alignment horizontal="center" vertical="center" wrapText="1"/>
    </xf>
    <xf numFmtId="0" fontId="13" fillId="5" borderId="24" xfId="2" applyFont="1" applyFill="1" applyBorder="1" applyAlignment="1">
      <alignment horizontal="left" vertical="center" wrapText="1"/>
    </xf>
    <xf numFmtId="0" fontId="13" fillId="5" borderId="15" xfId="2" quotePrefix="1" applyFont="1" applyFill="1" applyBorder="1" applyAlignment="1">
      <alignment horizontal="left" vertical="center" wrapText="1"/>
    </xf>
    <xf numFmtId="0" fontId="13" fillId="6" borderId="14" xfId="2" applyFont="1" applyFill="1" applyBorder="1" applyAlignment="1">
      <alignment horizontal="center" vertical="center" wrapText="1"/>
    </xf>
    <xf numFmtId="0" fontId="13" fillId="6" borderId="16" xfId="2" applyFont="1" applyFill="1" applyBorder="1" applyAlignment="1">
      <alignment horizontal="center" vertical="center" wrapText="1"/>
    </xf>
    <xf numFmtId="0" fontId="13" fillId="5" borderId="27" xfId="2" applyFont="1" applyFill="1" applyBorder="1" applyAlignment="1">
      <alignment horizontal="left" vertical="center" wrapText="1"/>
    </xf>
    <xf numFmtId="0" fontId="13" fillId="5" borderId="26" xfId="2" quotePrefix="1" applyFont="1" applyFill="1" applyBorder="1" applyAlignment="1">
      <alignment horizontal="left" vertical="center" wrapText="1"/>
    </xf>
    <xf numFmtId="0" fontId="12" fillId="6" borderId="146" xfId="4" applyFont="1" applyFill="1" applyBorder="1" applyAlignment="1">
      <alignment horizontal="center" vertical="center" wrapText="1"/>
    </xf>
    <xf numFmtId="0" fontId="12" fillId="6" borderId="186" xfId="4" applyFont="1" applyFill="1" applyBorder="1" applyAlignment="1">
      <alignment horizontal="center" vertical="center" wrapText="1"/>
    </xf>
    <xf numFmtId="0" fontId="5" fillId="0" borderId="147" xfId="2" applyFont="1" applyBorder="1" applyAlignment="1">
      <alignment horizontal="left" vertical="center" wrapText="1"/>
    </xf>
    <xf numFmtId="0" fontId="5" fillId="0" borderId="181" xfId="2" applyFont="1" applyBorder="1" applyAlignment="1">
      <alignment horizontal="left" vertic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7" xfId="4" applyFont="1" applyBorder="1" applyAlignment="1">
      <alignment horizontal="left" vertical="center" wrapText="1"/>
    </xf>
    <xf numFmtId="0" fontId="32" fillId="5" borderId="1317" xfId="2" applyFont="1" applyFill="1" applyBorder="1" applyAlignment="1">
      <alignment horizontal="left" vertical="center" wrapText="1"/>
    </xf>
    <xf numFmtId="0" fontId="32" fillId="5" borderId="161" xfId="2" quotePrefix="1" applyFont="1" applyFill="1" applyBorder="1" applyAlignment="1">
      <alignment horizontal="left" vertical="center" wrapText="1"/>
    </xf>
    <xf numFmtId="0" fontId="31" fillId="0" borderId="14" xfId="2" applyFont="1" applyBorder="1" applyAlignment="1">
      <alignment horizontal="left" vertical="center" wrapText="1"/>
    </xf>
    <xf numFmtId="0" fontId="31" fillId="0" borderId="1314" xfId="2" applyFont="1" applyBorder="1" applyAlignment="1">
      <alignment horizontal="left" vertical="center" wrapText="1"/>
    </xf>
    <xf numFmtId="0" fontId="32" fillId="5" borderId="144" xfId="2" applyFont="1" applyFill="1" applyBorder="1" applyAlignment="1">
      <alignment horizontal="left" vertical="center"/>
    </xf>
    <xf numFmtId="0" fontId="32" fillId="5" borderId="180" xfId="2" applyFont="1" applyFill="1" applyBorder="1" applyAlignment="1">
      <alignment horizontal="left" vertical="center"/>
    </xf>
    <xf numFmtId="0" fontId="32" fillId="5" borderId="168" xfId="2" applyFont="1" applyFill="1" applyBorder="1" applyAlignment="1">
      <alignment horizontal="left" vertical="center" wrapText="1"/>
    </xf>
    <xf numFmtId="0" fontId="32" fillId="5" borderId="168" xfId="2" quotePrefix="1" applyFont="1" applyFill="1" applyBorder="1" applyAlignment="1">
      <alignment horizontal="left" vertical="center" wrapText="1"/>
    </xf>
    <xf numFmtId="0" fontId="85" fillId="0" borderId="147" xfId="2" applyFont="1" applyBorder="1" applyAlignment="1">
      <alignment horizontal="center" vertical="center" wrapText="1"/>
    </xf>
    <xf numFmtId="0" fontId="85" fillId="0" borderId="181" xfId="2" applyFont="1" applyBorder="1" applyAlignment="1">
      <alignment horizontal="center" vertical="center" wrapText="1"/>
    </xf>
    <xf numFmtId="0" fontId="32" fillId="5" borderId="144" xfId="2" applyFont="1" applyFill="1" applyBorder="1" applyAlignment="1">
      <alignment horizontal="left" vertical="center" wrapText="1"/>
    </xf>
    <xf numFmtId="0" fontId="32" fillId="5" borderId="180" xfId="2" quotePrefix="1" applyFont="1" applyFill="1" applyBorder="1" applyAlignment="1">
      <alignment horizontal="left" vertical="center" wrapText="1"/>
    </xf>
    <xf numFmtId="0" fontId="32" fillId="5" borderId="164" xfId="2" applyFont="1" applyFill="1" applyBorder="1" applyAlignment="1">
      <alignment horizontal="left" vertical="center" wrapText="1"/>
    </xf>
    <xf numFmtId="0" fontId="32" fillId="5" borderId="163" xfId="2" quotePrefix="1" applyFont="1" applyFill="1" applyBorder="1" applyAlignment="1">
      <alignment horizontal="left" vertical="center" wrapText="1"/>
    </xf>
    <xf numFmtId="0" fontId="13" fillId="5" borderId="186" xfId="4" applyFont="1" applyFill="1" applyBorder="1" applyAlignment="1">
      <alignment horizontal="left" vertical="center" wrapText="1"/>
    </xf>
    <xf numFmtId="0" fontId="12" fillId="0" borderId="147" xfId="2" applyFont="1" applyBorder="1" applyAlignment="1">
      <alignment horizontal="center" vertical="center" wrapText="1"/>
    </xf>
    <xf numFmtId="0" fontId="12" fillId="0" borderId="181" xfId="2" applyFont="1" applyBorder="1" applyAlignment="1">
      <alignment horizontal="center" vertical="center" wrapText="1"/>
    </xf>
    <xf numFmtId="0" fontId="13" fillId="5" borderId="188" xfId="2" applyFont="1" applyFill="1" applyBorder="1" applyAlignment="1">
      <alignment horizontal="left" vertical="center" wrapText="1"/>
    </xf>
    <xf numFmtId="0" fontId="13" fillId="5" borderId="35" xfId="2" quotePrefix="1" applyFont="1" applyFill="1" applyBorder="1" applyAlignment="1">
      <alignment horizontal="left" vertical="center" wrapText="1"/>
    </xf>
    <xf numFmtId="0" fontId="23" fillId="0" borderId="18" xfId="4" applyFont="1" applyBorder="1" applyAlignment="1">
      <alignment horizontal="center" vertical="center" wrapText="1"/>
    </xf>
    <xf numFmtId="0" fontId="23" fillId="0" borderId="16" xfId="4" applyFont="1" applyBorder="1" applyAlignment="1">
      <alignment horizontal="center" vertical="center" wrapText="1"/>
    </xf>
    <xf numFmtId="0" fontId="5" fillId="0" borderId="178" xfId="2" quotePrefix="1" applyFont="1" applyBorder="1" applyAlignment="1">
      <alignment horizontal="center" vertical="center" wrapText="1"/>
    </xf>
    <xf numFmtId="0" fontId="5" fillId="0" borderId="181" xfId="2" quotePrefix="1" applyFont="1" applyBorder="1" applyAlignment="1">
      <alignment horizontal="center" vertical="center" wrapText="1"/>
    </xf>
    <xf numFmtId="0" fontId="13" fillId="5" borderId="182" xfId="2" applyFont="1" applyFill="1" applyBorder="1" applyAlignment="1">
      <alignment horizontal="left" vertical="center" wrapText="1"/>
    </xf>
    <xf numFmtId="0" fontId="13" fillId="5" borderId="168" xfId="2" applyFont="1" applyFill="1" applyBorder="1" applyAlignment="1">
      <alignment horizontal="left" vertical="center" wrapText="1"/>
    </xf>
    <xf numFmtId="0" fontId="5" fillId="6" borderId="147" xfId="2" quotePrefix="1" applyFont="1" applyFill="1" applyBorder="1" applyAlignment="1">
      <alignment horizontal="left" vertical="center" wrapText="1"/>
    </xf>
    <xf numFmtId="0" fontId="5" fillId="6" borderId="14" xfId="2" quotePrefix="1" applyFont="1" applyFill="1" applyBorder="1" applyAlignment="1">
      <alignment horizontal="left" vertical="center" wrapText="1"/>
    </xf>
    <xf numFmtId="0" fontId="5" fillId="6" borderId="181" xfId="2" quotePrefix="1" applyFont="1" applyFill="1" applyBorder="1" applyAlignment="1">
      <alignment horizontal="left" vertical="center" wrapText="1"/>
    </xf>
    <xf numFmtId="0" fontId="76" fillId="5" borderId="24" xfId="4" applyFont="1" applyFill="1" applyBorder="1" applyAlignment="1">
      <alignment horizontal="left" vertical="center" wrapText="1"/>
    </xf>
    <xf numFmtId="0" fontId="76" fillId="5" borderId="100" xfId="4" applyFont="1" applyFill="1" applyBorder="1" applyAlignment="1">
      <alignment horizontal="left" vertical="center" wrapText="1"/>
    </xf>
    <xf numFmtId="0" fontId="5" fillId="0" borderId="14" xfId="2" quotePrefix="1" applyFont="1" applyBorder="1" applyAlignment="1">
      <alignment horizontal="center" vertical="center" wrapText="1"/>
    </xf>
    <xf numFmtId="0" fontId="5" fillId="0" borderId="147" xfId="2" quotePrefix="1" applyFont="1" applyBorder="1" applyAlignment="1">
      <alignment horizontal="center" vertical="center" wrapText="1"/>
    </xf>
    <xf numFmtId="0" fontId="5" fillId="0" borderId="7" xfId="2" quotePrefix="1" applyFont="1" applyBorder="1" applyAlignment="1">
      <alignment horizontal="center" vertical="center" wrapText="1"/>
    </xf>
    <xf numFmtId="0" fontId="31" fillId="6" borderId="147" xfId="2" quotePrefix="1" applyFont="1" applyFill="1" applyBorder="1" applyAlignment="1">
      <alignment horizontal="left" vertical="center" wrapText="1"/>
    </xf>
    <xf numFmtId="0" fontId="31" fillId="6" borderId="14" xfId="2" quotePrefix="1" applyFont="1" applyFill="1" applyBorder="1" applyAlignment="1">
      <alignment horizontal="left" vertical="center" wrapText="1"/>
    </xf>
    <xf numFmtId="0" fontId="31" fillId="6" borderId="181" xfId="2" quotePrefix="1" applyFont="1" applyFill="1" applyBorder="1" applyAlignment="1">
      <alignment horizontal="left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  <xf numFmtId="0" fontId="13" fillId="5" borderId="71" xfId="2" applyFont="1" applyFill="1" applyBorder="1" applyAlignment="1">
      <alignment horizontal="left" vertical="center" wrapText="1"/>
    </xf>
    <xf numFmtId="0" fontId="5" fillId="0" borderId="157" xfId="2" applyFont="1" applyBorder="1" applyAlignment="1">
      <alignment horizontal="left" vertical="center" wrapText="1"/>
    </xf>
    <xf numFmtId="0" fontId="5" fillId="0" borderId="25" xfId="2" applyFont="1" applyBorder="1" applyAlignment="1">
      <alignment horizontal="left" vertical="center" wrapText="1"/>
    </xf>
    <xf numFmtId="0" fontId="5" fillId="0" borderId="8" xfId="2" applyFont="1" applyBorder="1" applyAlignment="1">
      <alignment horizontal="left" vertical="center" wrapText="1"/>
    </xf>
    <xf numFmtId="0" fontId="13" fillId="5" borderId="144" xfId="2" applyFont="1" applyFill="1" applyBorder="1" applyAlignment="1">
      <alignment horizontal="left" vertical="center" wrapText="1"/>
    </xf>
    <xf numFmtId="0" fontId="13" fillId="5" borderId="180" xfId="2" applyFont="1" applyFill="1" applyBorder="1" applyAlignment="1">
      <alignment horizontal="left" vertical="center" wrapText="1"/>
    </xf>
    <xf numFmtId="0" fontId="15" fillId="0" borderId="14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1313" xfId="2" applyFont="1" applyBorder="1" applyAlignment="1">
      <alignment horizontal="center" vertical="center" wrapText="1"/>
    </xf>
    <xf numFmtId="0" fontId="13" fillId="5" borderId="817" xfId="2" applyFont="1" applyFill="1" applyBorder="1" applyAlignment="1">
      <alignment horizontal="left" vertical="center" wrapText="1"/>
    </xf>
    <xf numFmtId="0" fontId="13" fillId="5" borderId="757" xfId="2" applyFont="1" applyFill="1" applyBorder="1" applyAlignment="1">
      <alignment horizontal="left" vertical="center" wrapText="1"/>
    </xf>
    <xf numFmtId="0" fontId="76" fillId="5" borderId="168" xfId="2" applyFont="1" applyFill="1" applyBorder="1" applyAlignment="1">
      <alignment horizontal="left" vertical="center" wrapText="1"/>
    </xf>
    <xf numFmtId="0" fontId="76" fillId="5" borderId="168" xfId="2" quotePrefix="1" applyFont="1" applyFill="1" applyBorder="1" applyAlignment="1">
      <alignment horizontal="left" vertical="center" wrapText="1"/>
    </xf>
    <xf numFmtId="0" fontId="76" fillId="5" borderId="8" xfId="2" applyFont="1" applyFill="1" applyBorder="1" applyAlignment="1">
      <alignment horizontal="left" vertical="center" wrapText="1"/>
    </xf>
    <xf numFmtId="0" fontId="76" fillId="5" borderId="1" xfId="2" quotePrefix="1" applyFont="1" applyFill="1" applyBorder="1" applyAlignment="1">
      <alignment horizontal="left" vertical="center" wrapText="1"/>
    </xf>
    <xf numFmtId="0" fontId="13" fillId="5" borderId="168" xfId="2" quotePrefix="1" applyFont="1" applyFill="1" applyBorder="1" applyAlignment="1">
      <alignment horizontal="left" vertical="center" wrapText="1"/>
    </xf>
    <xf numFmtId="0" fontId="76" fillId="5" borderId="0" xfId="4" applyFont="1" applyFill="1" applyAlignment="1">
      <alignment horizontal="left" vertical="center" wrapText="1"/>
    </xf>
    <xf numFmtId="0" fontId="76" fillId="5" borderId="22" xfId="4" applyFont="1" applyFill="1" applyBorder="1" applyAlignment="1">
      <alignment horizontal="left" vertical="center" wrapText="1"/>
    </xf>
    <xf numFmtId="49" fontId="5" fillId="6" borderId="178" xfId="2" applyNumberFormat="1" applyFont="1" applyFill="1" applyBorder="1" applyAlignment="1">
      <alignment horizontal="center" vertical="center" wrapText="1"/>
    </xf>
    <xf numFmtId="49" fontId="5" fillId="6" borderId="181" xfId="2" applyNumberFormat="1" applyFont="1" applyFill="1" applyBorder="1" applyAlignment="1">
      <alignment horizontal="center" vertical="center" wrapText="1"/>
    </xf>
    <xf numFmtId="0" fontId="13" fillId="6" borderId="181" xfId="2" applyFont="1" applyFill="1" applyBorder="1" applyAlignment="1">
      <alignment horizontal="center" vertical="center" wrapText="1"/>
    </xf>
    <xf numFmtId="0" fontId="13" fillId="5" borderId="104" xfId="2" applyFont="1" applyFill="1" applyBorder="1" applyAlignment="1">
      <alignment horizontal="left" vertical="center" wrapText="1"/>
    </xf>
    <xf numFmtId="0" fontId="13" fillId="5" borderId="68" xfId="2" quotePrefix="1" applyFont="1" applyFill="1" applyBorder="1" applyAlignment="1">
      <alignment horizontal="left" vertical="center" wrapText="1"/>
    </xf>
    <xf numFmtId="0" fontId="31" fillId="0" borderId="147" xfId="2" applyFont="1" applyBorder="1" applyAlignment="1">
      <alignment horizontal="left" vertical="center" wrapText="1"/>
    </xf>
    <xf numFmtId="0" fontId="31" fillId="0" borderId="181" xfId="2" applyFont="1" applyBorder="1" applyAlignment="1">
      <alignment horizontal="left" vertical="center" wrapText="1"/>
    </xf>
    <xf numFmtId="0" fontId="13" fillId="5" borderId="180" xfId="2" quotePrefix="1" applyFont="1" applyFill="1" applyBorder="1" applyAlignment="1">
      <alignment horizontal="left" vertical="center" wrapText="1"/>
    </xf>
    <xf numFmtId="0" fontId="13" fillId="5" borderId="163" xfId="2" quotePrefix="1" applyFont="1" applyFill="1" applyBorder="1" applyAlignment="1">
      <alignment horizontal="left" vertical="center" wrapText="1"/>
    </xf>
    <xf numFmtId="0" fontId="13" fillId="5" borderId="128" xfId="2" applyFont="1" applyFill="1" applyBorder="1" applyAlignment="1">
      <alignment horizontal="left" vertical="center" wrapText="1"/>
    </xf>
    <xf numFmtId="0" fontId="13" fillId="5" borderId="165" xfId="2" quotePrefix="1" applyFont="1" applyFill="1" applyBorder="1" applyAlignment="1">
      <alignment horizontal="left" vertical="center" wrapText="1"/>
    </xf>
    <xf numFmtId="0" fontId="13" fillId="5" borderId="165" xfId="2" applyFont="1" applyFill="1" applyBorder="1" applyAlignment="1">
      <alignment horizontal="left" vertical="center" wrapText="1"/>
    </xf>
    <xf numFmtId="0" fontId="32" fillId="5" borderId="165" xfId="2" quotePrefix="1" applyFont="1" applyFill="1" applyBorder="1" applyAlignment="1">
      <alignment horizontal="left" vertical="center" wrapText="1"/>
    </xf>
    <xf numFmtId="0" fontId="32" fillId="5" borderId="49" xfId="2" applyFont="1" applyFill="1" applyBorder="1" applyAlignment="1">
      <alignment horizontal="left" vertical="center" wrapText="1"/>
    </xf>
    <xf numFmtId="0" fontId="32" fillId="5" borderId="48" xfId="2" quotePrefix="1" applyFont="1" applyFill="1" applyBorder="1" applyAlignment="1">
      <alignment horizontal="left" vertical="center" wrapText="1"/>
    </xf>
    <xf numFmtId="0" fontId="13" fillId="6" borderId="30" xfId="2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left" vertical="center" wrapText="1"/>
    </xf>
    <xf numFmtId="0" fontId="13" fillId="5" borderId="0" xfId="2" quotePrefix="1" applyFont="1" applyFill="1" applyAlignment="1">
      <alignment horizontal="left" vertical="center" wrapText="1"/>
    </xf>
    <xf numFmtId="0" fontId="13" fillId="6" borderId="146" xfId="2" applyFont="1" applyFill="1" applyBorder="1" applyAlignment="1">
      <alignment horizontal="center" vertical="center" wrapText="1"/>
    </xf>
    <xf numFmtId="0" fontId="13" fillId="6" borderId="186" xfId="2" applyFont="1" applyFill="1" applyBorder="1" applyAlignment="1">
      <alignment horizontal="center" vertical="center" wrapText="1"/>
    </xf>
    <xf numFmtId="0" fontId="13" fillId="5" borderId="161" xfId="2" applyFont="1" applyFill="1" applyBorder="1" applyAlignment="1">
      <alignment horizontal="left" vertical="center" wrapText="1"/>
    </xf>
    <xf numFmtId="0" fontId="15" fillId="6" borderId="30" xfId="2" applyFont="1" applyFill="1" applyBorder="1" applyAlignment="1">
      <alignment horizontal="center" vertical="center" wrapText="1"/>
    </xf>
    <xf numFmtId="0" fontId="15" fillId="6" borderId="186" xfId="2" applyFont="1" applyFill="1" applyBorder="1" applyAlignment="1">
      <alignment horizontal="center" vertical="center" wrapText="1"/>
    </xf>
    <xf numFmtId="49" fontId="5" fillId="6" borderId="147" xfId="2" applyNumberFormat="1" applyFont="1" applyFill="1" applyBorder="1" applyAlignment="1">
      <alignment horizontal="center" vertical="center" wrapText="1"/>
    </xf>
    <xf numFmtId="0" fontId="13" fillId="5" borderId="89" xfId="2" applyFont="1" applyFill="1" applyBorder="1" applyAlignment="1">
      <alignment horizontal="left" vertical="center" wrapText="1"/>
    </xf>
    <xf numFmtId="0" fontId="13" fillId="5" borderId="90" xfId="2" quotePrefix="1" applyFont="1" applyFill="1" applyBorder="1" applyAlignment="1">
      <alignment horizontal="left" vertical="center" wrapText="1"/>
    </xf>
    <xf numFmtId="49" fontId="5" fillId="0" borderId="1313" xfId="2" quotePrefix="1" applyNumberFormat="1" applyFont="1" applyBorder="1" applyAlignment="1">
      <alignment horizontal="center" vertical="center" wrapText="1"/>
    </xf>
    <xf numFmtId="49" fontId="5" fillId="0" borderId="1314" xfId="2" quotePrefix="1" applyNumberFormat="1" applyFont="1" applyBorder="1" applyAlignment="1">
      <alignment horizontal="center" vertical="center" wrapText="1"/>
    </xf>
    <xf numFmtId="0" fontId="13" fillId="5" borderId="1319" xfId="2" applyFont="1" applyFill="1" applyBorder="1" applyAlignment="1">
      <alignment horizontal="left" vertical="center" wrapText="1"/>
    </xf>
    <xf numFmtId="0" fontId="13" fillId="5" borderId="1319" xfId="2" quotePrefix="1" applyFont="1" applyFill="1" applyBorder="1" applyAlignment="1">
      <alignment horizontal="left" vertical="center" wrapText="1"/>
    </xf>
    <xf numFmtId="0" fontId="13" fillId="5" borderId="17" xfId="2" applyFont="1" applyFill="1" applyBorder="1" applyAlignment="1">
      <alignment horizontal="left" vertical="center" wrapText="1"/>
    </xf>
    <xf numFmtId="0" fontId="13" fillId="5" borderId="22" xfId="2" quotePrefix="1" applyFont="1" applyFill="1" applyBorder="1" applyAlignment="1">
      <alignment horizontal="left" vertical="center" wrapText="1"/>
    </xf>
    <xf numFmtId="49" fontId="5" fillId="6" borderId="147" xfId="2" applyNumberFormat="1" applyFont="1" applyFill="1" applyBorder="1" applyAlignment="1">
      <alignment horizontal="center" vertical="center"/>
    </xf>
    <xf numFmtId="49" fontId="5" fillId="6" borderId="181" xfId="2" applyNumberFormat="1" applyFont="1" applyFill="1" applyBorder="1" applyAlignment="1">
      <alignment horizontal="center" vertical="center"/>
    </xf>
    <xf numFmtId="0" fontId="69" fillId="0" borderId="0" xfId="2" applyFont="1" applyAlignment="1">
      <alignment horizontal="center" vertical="center" wrapText="1"/>
    </xf>
    <xf numFmtId="0" fontId="8" fillId="2" borderId="84" xfId="2" applyFont="1" applyFill="1" applyBorder="1" applyAlignment="1">
      <alignment horizontal="center" vertical="center" wrapText="1"/>
    </xf>
    <xf numFmtId="0" fontId="8" fillId="2" borderId="178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4" fontId="8" fillId="2" borderId="178" xfId="2" applyNumberFormat="1" applyFont="1" applyFill="1" applyBorder="1" applyAlignment="1">
      <alignment horizontal="center" vertical="center" wrapText="1"/>
    </xf>
    <xf numFmtId="4" fontId="8" fillId="2" borderId="7" xfId="2" applyNumberFormat="1" applyFont="1" applyFill="1" applyBorder="1" applyAlignment="1">
      <alignment horizontal="center" vertical="center" wrapText="1"/>
    </xf>
    <xf numFmtId="3" fontId="8" fillId="2" borderId="162" xfId="2" applyNumberFormat="1" applyFont="1" applyFill="1" applyBorder="1" applyAlignment="1">
      <alignment horizontal="center" vertical="center" wrapText="1"/>
    </xf>
    <xf numFmtId="3" fontId="8" fillId="2" borderId="118" xfId="2" applyNumberFormat="1" applyFont="1" applyFill="1" applyBorder="1" applyAlignment="1">
      <alignment horizontal="center" vertical="center" wrapText="1"/>
    </xf>
    <xf numFmtId="3" fontId="8" fillId="2" borderId="6" xfId="2" applyNumberFormat="1" applyFont="1" applyFill="1" applyBorder="1" applyAlignment="1">
      <alignment horizontal="center" vertical="center" wrapText="1"/>
    </xf>
    <xf numFmtId="3" fontId="8" fillId="2" borderId="10" xfId="2" applyNumberFormat="1" applyFont="1" applyFill="1" applyBorder="1" applyAlignment="1">
      <alignment horizontal="center" vertical="center" wrapText="1"/>
    </xf>
    <xf numFmtId="0" fontId="8" fillId="0" borderId="178" xfId="2" quotePrefix="1" applyFont="1" applyBorder="1" applyAlignment="1">
      <alignment horizontal="center" vertical="center" wrapText="1"/>
    </xf>
    <xf numFmtId="0" fontId="8" fillId="0" borderId="14" xfId="2" quotePrefix="1" applyFont="1" applyBorder="1" applyAlignment="1">
      <alignment horizontal="center" vertical="center" wrapText="1"/>
    </xf>
    <xf numFmtId="0" fontId="8" fillId="0" borderId="7" xfId="2" quotePrefix="1" applyFont="1" applyBorder="1" applyAlignment="1">
      <alignment horizontal="center" vertical="center" wrapText="1"/>
    </xf>
    <xf numFmtId="0" fontId="8" fillId="0" borderId="3" xfId="2" quotePrefix="1" applyFont="1" applyBorder="1" applyAlignment="1">
      <alignment horizontal="center" vertical="center" wrapText="1"/>
    </xf>
    <xf numFmtId="0" fontId="13" fillId="0" borderId="147" xfId="2" applyFont="1" applyBorder="1" applyAlignment="1">
      <alignment horizontal="center" vertical="center" wrapText="1"/>
    </xf>
    <xf numFmtId="0" fontId="13" fillId="0" borderId="7" xfId="2" applyFont="1" applyBorder="1" applyAlignment="1">
      <alignment horizontal="center" vertical="center" wrapText="1"/>
    </xf>
    <xf numFmtId="0" fontId="13" fillId="0" borderId="157" xfId="2" applyFont="1" applyBorder="1" applyAlignment="1">
      <alignment horizontal="center" vertical="center" wrapText="1"/>
    </xf>
    <xf numFmtId="0" fontId="13" fillId="0" borderId="25" xfId="2" applyFont="1" applyBorder="1" applyAlignment="1">
      <alignment horizontal="center" vertical="center" wrapText="1"/>
    </xf>
    <xf numFmtId="0" fontId="13" fillId="0" borderId="182" xfId="2" applyFont="1" applyBorder="1" applyAlignment="1">
      <alignment horizontal="center" vertical="center" wrapText="1"/>
    </xf>
    <xf numFmtId="0" fontId="13" fillId="5" borderId="1" xfId="2" applyFont="1" applyFill="1" applyBorder="1" applyAlignment="1">
      <alignment horizontal="left" vertical="center" wrapText="1"/>
    </xf>
    <xf numFmtId="49" fontId="13" fillId="5" borderId="161" xfId="2" applyNumberFormat="1" applyFont="1" applyFill="1" applyBorder="1" applyAlignment="1">
      <alignment horizontal="left" vertical="center" wrapText="1"/>
    </xf>
    <xf numFmtId="49" fontId="13" fillId="5" borderId="144" xfId="2" applyNumberFormat="1" applyFont="1" applyFill="1" applyBorder="1" applyAlignment="1">
      <alignment horizontal="left" vertical="center" wrapText="1"/>
    </xf>
    <xf numFmtId="49" fontId="13" fillId="5" borderId="180" xfId="2" applyNumberFormat="1" applyFont="1" applyFill="1" applyBorder="1" applyAlignment="1">
      <alignment horizontal="left" vertical="center" wrapText="1"/>
    </xf>
    <xf numFmtId="0" fontId="15" fillId="6" borderId="147" xfId="2" applyFont="1" applyFill="1" applyBorder="1" applyAlignment="1">
      <alignment horizontal="center" vertical="center" wrapText="1"/>
    </xf>
    <xf numFmtId="0" fontId="15" fillId="6" borderId="14" xfId="2" applyFont="1" applyFill="1" applyBorder="1" applyAlignment="1">
      <alignment horizontal="center" vertical="center" wrapText="1"/>
    </xf>
    <xf numFmtId="0" fontId="15" fillId="6" borderId="181" xfId="2" applyFont="1" applyFill="1" applyBorder="1" applyAlignment="1">
      <alignment horizontal="center" vertical="center" wrapText="1"/>
    </xf>
    <xf numFmtId="0" fontId="5" fillId="6" borderId="94" xfId="2" applyFont="1" applyFill="1" applyBorder="1" applyAlignment="1">
      <alignment horizontal="left" vertical="center" wrapText="1"/>
    </xf>
    <xf numFmtId="0" fontId="5" fillId="6" borderId="0" xfId="2" applyFont="1" applyFill="1" applyAlignment="1">
      <alignment horizontal="left" vertical="center" wrapText="1"/>
    </xf>
    <xf numFmtId="0" fontId="5" fillId="6" borderId="168" xfId="2" applyFont="1" applyFill="1" applyBorder="1" applyAlignment="1">
      <alignment horizontal="left" vertical="center" wrapText="1"/>
    </xf>
    <xf numFmtId="0" fontId="13" fillId="5" borderId="184" xfId="2" applyFont="1" applyFill="1" applyBorder="1" applyAlignment="1">
      <alignment horizontal="left" vertical="center" wrapText="1"/>
    </xf>
    <xf numFmtId="0" fontId="13" fillId="6" borderId="147" xfId="2" applyFont="1" applyFill="1" applyBorder="1" applyAlignment="1">
      <alignment horizontal="center" vertical="center" wrapText="1"/>
    </xf>
    <xf numFmtId="49" fontId="19" fillId="0" borderId="147" xfId="2" applyNumberFormat="1" applyFont="1" applyBorder="1" applyAlignment="1">
      <alignment horizontal="center" vertical="center" wrapText="1"/>
    </xf>
    <xf numFmtId="49" fontId="19" fillId="0" borderId="14" xfId="2" applyNumberFormat="1" applyFont="1" applyBorder="1" applyAlignment="1">
      <alignment horizontal="center" vertical="center" wrapText="1"/>
    </xf>
    <xf numFmtId="49" fontId="19" fillId="0" borderId="181" xfId="2" applyNumberFormat="1" applyFont="1" applyBorder="1" applyAlignment="1">
      <alignment horizontal="center" vertical="center" wrapText="1"/>
    </xf>
    <xf numFmtId="49" fontId="5" fillId="6" borderId="14" xfId="4" applyNumberFormat="1" applyFont="1" applyFill="1" applyBorder="1" applyAlignment="1">
      <alignment horizontal="center" vertical="center" wrapText="1"/>
    </xf>
    <xf numFmtId="0" fontId="13" fillId="6" borderId="7" xfId="4" applyFont="1" applyFill="1" applyBorder="1" applyAlignment="1">
      <alignment horizontal="center" vertical="center" wrapText="1"/>
    </xf>
    <xf numFmtId="0" fontId="13" fillId="6" borderId="181" xfId="4" applyFont="1" applyFill="1" applyBorder="1" applyAlignment="1">
      <alignment horizontal="center" vertical="center" wrapText="1"/>
    </xf>
    <xf numFmtId="0" fontId="19" fillId="6" borderId="147" xfId="4" applyFont="1" applyFill="1" applyBorder="1" applyAlignment="1">
      <alignment horizontal="center" vertical="center" wrapText="1"/>
    </xf>
    <xf numFmtId="0" fontId="19" fillId="6" borderId="181" xfId="4" applyFont="1" applyFill="1" applyBorder="1" applyAlignment="1">
      <alignment horizontal="center" vertical="center" wrapText="1"/>
    </xf>
    <xf numFmtId="49" fontId="5" fillId="0" borderId="178" xfId="4" applyNumberFormat="1" applyFont="1" applyBorder="1" applyAlignment="1">
      <alignment horizontal="center" vertical="center" wrapText="1"/>
    </xf>
    <xf numFmtId="49" fontId="5" fillId="0" borderId="14" xfId="4" applyNumberFormat="1" applyFont="1" applyBorder="1" applyAlignment="1">
      <alignment horizontal="center" vertical="center" wrapText="1"/>
    </xf>
    <xf numFmtId="49" fontId="5" fillId="0" borderId="181" xfId="4" applyNumberFormat="1" applyFont="1" applyBorder="1" applyAlignment="1">
      <alignment horizontal="center" vertical="center" wrapText="1"/>
    </xf>
    <xf numFmtId="0" fontId="5" fillId="0" borderId="1313" xfId="4" quotePrefix="1" applyFont="1" applyBorder="1" applyAlignment="1">
      <alignment horizontal="left" vertical="center" wrapText="1"/>
    </xf>
    <xf numFmtId="0" fontId="5" fillId="0" borderId="1314" xfId="4" quotePrefix="1" applyFont="1" applyBorder="1" applyAlignment="1">
      <alignment horizontal="left" vertical="center" wrapText="1"/>
    </xf>
    <xf numFmtId="49" fontId="5" fillId="0" borderId="178" xfId="2" applyNumberFormat="1" applyFont="1" applyBorder="1" applyAlignment="1">
      <alignment horizontal="center" vertical="center" wrapText="1"/>
    </xf>
    <xf numFmtId="49" fontId="5" fillId="0" borderId="14" xfId="2" applyNumberFormat="1" applyFont="1" applyBorder="1" applyAlignment="1">
      <alignment horizontal="center" vertical="center" wrapText="1"/>
    </xf>
    <xf numFmtId="49" fontId="5" fillId="0" borderId="181" xfId="2" applyNumberFormat="1" applyFont="1" applyBorder="1" applyAlignment="1">
      <alignment horizontal="center" vertical="center" wrapText="1"/>
    </xf>
    <xf numFmtId="49" fontId="5" fillId="6" borderId="1313" xfId="2" applyNumberFormat="1" applyFont="1" applyFill="1" applyBorder="1" applyAlignment="1">
      <alignment horizontal="center" vertical="center" wrapText="1"/>
    </xf>
    <xf numFmtId="49" fontId="5" fillId="6" borderId="7" xfId="2" applyNumberFormat="1" applyFont="1" applyFill="1" applyBorder="1" applyAlignment="1">
      <alignment horizontal="center" vertical="center" wrapText="1"/>
    </xf>
    <xf numFmtId="49" fontId="5" fillId="6" borderId="14" xfId="2" applyNumberFormat="1" applyFont="1" applyFill="1" applyBorder="1" applyAlignment="1">
      <alignment horizontal="center" vertical="center" wrapText="1"/>
    </xf>
    <xf numFmtId="49" fontId="5" fillId="0" borderId="1313" xfId="2" applyNumberFormat="1" applyFont="1" applyBorder="1" applyAlignment="1">
      <alignment horizontal="center" vertical="center" wrapText="1"/>
    </xf>
    <xf numFmtId="49" fontId="5" fillId="0" borderId="1314" xfId="2" applyNumberFormat="1" applyFont="1" applyBorder="1" applyAlignment="1">
      <alignment horizontal="center" vertical="center" wrapText="1"/>
    </xf>
    <xf numFmtId="0" fontId="15" fillId="0" borderId="147" xfId="2" applyFont="1" applyBorder="1" applyAlignment="1">
      <alignment horizontal="center" vertical="center" wrapText="1"/>
    </xf>
    <xf numFmtId="0" fontId="5" fillId="0" borderId="181" xfId="2" quotePrefix="1" applyFont="1" applyBorder="1" applyAlignment="1">
      <alignment horizontal="left" vertical="center" wrapText="1"/>
    </xf>
    <xf numFmtId="0" fontId="32" fillId="5" borderId="163" xfId="2" applyFont="1" applyFill="1" applyBorder="1" applyAlignment="1">
      <alignment horizontal="left" vertical="center" wrapText="1"/>
    </xf>
    <xf numFmtId="0" fontId="13" fillId="5" borderId="185" xfId="2" quotePrefix="1" applyFont="1" applyFill="1" applyBorder="1" applyAlignment="1">
      <alignment horizontal="left" vertical="center" wrapText="1"/>
    </xf>
    <xf numFmtId="0" fontId="5" fillId="0" borderId="1313" xfId="5" applyFont="1" applyBorder="1" applyAlignment="1">
      <alignment horizontal="left" vertical="center" wrapText="1"/>
    </xf>
    <xf numFmtId="0" fontId="5" fillId="0" borderId="14" xfId="5" applyFont="1" applyBorder="1" applyAlignment="1">
      <alignment horizontal="left" vertical="center" wrapText="1"/>
    </xf>
    <xf numFmtId="0" fontId="5" fillId="0" borderId="1314" xfId="5" applyFont="1" applyBorder="1" applyAlignment="1">
      <alignment horizontal="left" vertical="center" wrapText="1"/>
    </xf>
    <xf numFmtId="0" fontId="5" fillId="0" borderId="1313" xfId="4" applyFont="1" applyBorder="1" applyAlignment="1">
      <alignment horizontal="left" vertical="center" wrapText="1"/>
    </xf>
    <xf numFmtId="0" fontId="5" fillId="0" borderId="1314" xfId="4" applyFont="1" applyBorder="1" applyAlignment="1">
      <alignment horizontal="left" vertical="center" wrapText="1"/>
    </xf>
    <xf numFmtId="0" fontId="13" fillId="5" borderId="94" xfId="4" applyFont="1" applyFill="1" applyBorder="1" applyAlignment="1">
      <alignment horizontal="left" vertical="center" wrapText="1"/>
    </xf>
    <xf numFmtId="0" fontId="13" fillId="5" borderId="817" xfId="4" applyFont="1" applyFill="1" applyBorder="1" applyAlignment="1">
      <alignment horizontal="left" vertical="center" wrapText="1"/>
    </xf>
    <xf numFmtId="0" fontId="13" fillId="5" borderId="757" xfId="4" applyFont="1" applyFill="1" applyBorder="1" applyAlignment="1">
      <alignment horizontal="left" vertical="center" wrapText="1"/>
    </xf>
    <xf numFmtId="0" fontId="5" fillId="0" borderId="183" xfId="4" applyFont="1" applyBorder="1" applyAlignment="1">
      <alignment horizontal="left" vertical="center" wrapText="1"/>
    </xf>
    <xf numFmtId="0" fontId="15" fillId="0" borderId="181" xfId="4" applyFont="1" applyBorder="1" applyAlignment="1">
      <alignment horizontal="center" vertical="center" wrapText="1"/>
    </xf>
    <xf numFmtId="0" fontId="13" fillId="0" borderId="1306" xfId="7" applyFont="1" applyBorder="1" applyAlignment="1">
      <alignment horizontal="left" vertical="center" wrapText="1"/>
    </xf>
    <xf numFmtId="0" fontId="13" fillId="0" borderId="1138" xfId="7" applyFont="1" applyBorder="1" applyAlignment="1">
      <alignment horizontal="left" vertical="center" wrapText="1"/>
    </xf>
    <xf numFmtId="0" fontId="13" fillId="0" borderId="1304" xfId="7" applyFont="1" applyBorder="1" applyAlignment="1">
      <alignment horizontal="left" vertical="center" wrapText="1"/>
    </xf>
    <xf numFmtId="0" fontId="5" fillId="0" borderId="1306" xfId="7" applyFont="1" applyBorder="1" applyAlignment="1">
      <alignment horizontal="left" vertical="center" wrapText="1"/>
    </xf>
    <xf numFmtId="0" fontId="5" fillId="0" borderId="1138" xfId="7" applyFont="1" applyBorder="1" applyAlignment="1">
      <alignment horizontal="left" vertical="center" wrapText="1"/>
    </xf>
    <xf numFmtId="0" fontId="5" fillId="0" borderId="1304" xfId="7" applyFont="1" applyBorder="1" applyAlignment="1">
      <alignment horizontal="left" vertical="center" wrapText="1"/>
    </xf>
    <xf numFmtId="0" fontId="79" fillId="0" borderId="0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19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202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205" xfId="6" applyNumberFormat="1" applyFont="1" applyFill="1" applyBorder="1" applyAlignment="1" applyProtection="1">
      <alignment horizontal="left" vertical="center"/>
      <protection locked="0"/>
    </xf>
    <xf numFmtId="49" fontId="13" fillId="17" borderId="235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236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99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31" fillId="0" borderId="7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44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8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02" xfId="6" applyNumberFormat="1" applyFont="1" applyFill="1" applyBorder="1" applyAlignment="1" applyProtection="1">
      <alignment horizontal="center" vertical="center" wrapText="1"/>
      <protection locked="0"/>
    </xf>
    <xf numFmtId="49" fontId="8" fillId="17" borderId="4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0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421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7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40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413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29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293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41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7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73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46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0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5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62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2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465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8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279" xfId="6" applyNumberFormat="1" applyFont="1" applyFill="1" applyBorder="1" applyAlignment="1" applyProtection="1">
      <alignment horizontal="center" vertical="center" wrapText="1"/>
      <protection locked="0"/>
    </xf>
    <xf numFmtId="49" fontId="8" fillId="17" borderId="281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28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285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3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46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2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65" xfId="6" applyNumberFormat="1" applyFont="1" applyFill="1" applyBorder="1" applyAlignment="1" applyProtection="1">
      <alignment horizontal="left" vertical="center" wrapText="1"/>
      <protection locked="0"/>
    </xf>
    <xf numFmtId="49" fontId="13" fillId="0" borderId="402" xfId="6" applyNumberFormat="1" applyFont="1" applyFill="1" applyBorder="1" applyAlignment="1" applyProtection="1">
      <alignment vertical="center" wrapText="1"/>
      <protection locked="0"/>
    </xf>
    <xf numFmtId="0" fontId="6" fillId="0" borderId="402" xfId="0" applyFont="1" applyBorder="1" applyAlignment="1">
      <alignment vertical="center" wrapText="1"/>
    </xf>
    <xf numFmtId="49" fontId="5" fillId="0" borderId="16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65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431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38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418" xfId="6" applyNumberFormat="1" applyFont="1" applyFill="1" applyBorder="1" applyAlignment="1" applyProtection="1">
      <alignment horizontal="left" vertical="center" wrapText="1"/>
      <protection locked="0"/>
    </xf>
    <xf numFmtId="0" fontId="6" fillId="0" borderId="478" xfId="0" applyFont="1" applyBorder="1" applyAlignment="1">
      <alignment horizontal="left" vertical="center" wrapText="1"/>
    </xf>
    <xf numFmtId="49" fontId="8" fillId="0" borderId="500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504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50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7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476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47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1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78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47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86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87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418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4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8" xfId="6" applyNumberFormat="1" applyFont="1" applyFill="1" applyBorder="1" applyAlignment="1" applyProtection="1">
      <alignment horizontal="left" vertical="center" wrapText="1"/>
      <protection locked="0"/>
    </xf>
    <xf numFmtId="49" fontId="13" fillId="0" borderId="40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49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455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52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02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548" xfId="6" applyNumberFormat="1" applyFont="1" applyFill="1" applyBorder="1" applyAlignment="1" applyProtection="1">
      <alignment horizontal="left" vertical="center" wrapText="1"/>
      <protection locked="0"/>
    </xf>
    <xf numFmtId="0" fontId="86" fillId="0" borderId="549" xfId="0" applyFont="1" applyBorder="1" applyAlignment="1">
      <alignment horizontal="left" vertical="center" wrapText="1"/>
    </xf>
    <xf numFmtId="49" fontId="8" fillId="17" borderId="555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55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17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507" xfId="0" applyFont="1" applyBorder="1" applyAlignment="1">
      <alignment horizontal="left" vertical="center" wrapText="1"/>
    </xf>
    <xf numFmtId="49" fontId="8" fillId="0" borderId="55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6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24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52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41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18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478" xfId="0" applyFont="1" applyBorder="1" applyAlignment="1">
      <alignment vertical="center" wrapText="1"/>
    </xf>
    <xf numFmtId="49" fontId="32" fillId="17" borderId="530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53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25" xfId="6" applyNumberFormat="1" applyFont="1" applyFill="1" applyBorder="1" applyAlignment="1" applyProtection="1">
      <alignment horizontal="center" vertical="center" wrapText="1"/>
      <protection locked="0"/>
    </xf>
    <xf numFmtId="49" fontId="35" fillId="17" borderId="566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56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68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569" xfId="0" applyFont="1" applyBorder="1" applyAlignment="1">
      <alignment horizontal="left" vertical="center" wrapText="1"/>
    </xf>
    <xf numFmtId="49" fontId="35" fillId="0" borderId="49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4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56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569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568" xfId="6" applyNumberFormat="1" applyFont="1" applyFill="1" applyBorder="1" applyAlignment="1" applyProtection="1">
      <alignment horizontal="left" vertical="center"/>
      <protection locked="0"/>
    </xf>
    <xf numFmtId="0" fontId="32" fillId="0" borderId="569" xfId="6" applyNumberFormat="1" applyFont="1" applyFill="1" applyBorder="1" applyAlignment="1" applyProtection="1">
      <alignment horizontal="left" vertical="center"/>
      <protection locked="0"/>
    </xf>
    <xf numFmtId="49" fontId="8" fillId="17" borderId="458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457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21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56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9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18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6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517" xfId="6" applyNumberFormat="1" applyFont="1" applyFill="1" applyBorder="1" applyAlignment="1" applyProtection="1">
      <alignment horizontal="left" vertical="center" wrapText="1"/>
      <protection locked="0"/>
    </xf>
    <xf numFmtId="0" fontId="1" fillId="0" borderId="507" xfId="0" applyFont="1" applyBorder="1" applyAlignment="1">
      <alignment horizontal="left" vertical="center" wrapText="1"/>
    </xf>
    <xf numFmtId="49" fontId="5" fillId="21" borderId="573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573" xfId="0" applyFont="1" applyBorder="1" applyAlignment="1">
      <alignment horizontal="left" vertical="center" wrapText="1"/>
    </xf>
    <xf numFmtId="0" fontId="13" fillId="0" borderId="573" xfId="6" applyNumberFormat="1" applyFont="1" applyFill="1" applyBorder="1" applyAlignment="1" applyProtection="1">
      <alignment horizontal="left" vertical="center"/>
      <protection locked="0"/>
    </xf>
    <xf numFmtId="49" fontId="5" fillId="21" borderId="576" xfId="6" applyNumberFormat="1" applyFont="1" applyFill="1" applyBorder="1" applyAlignment="1" applyProtection="1">
      <alignment horizontal="center" vertical="center" wrapText="1"/>
      <protection locked="0"/>
    </xf>
    <xf numFmtId="49" fontId="5" fillId="21" borderId="577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570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58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593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59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9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96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568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569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58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573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57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83" xfId="6" applyNumberFormat="1" applyFont="1" applyFill="1" applyBorder="1" applyAlignment="1" applyProtection="1">
      <alignment horizontal="left" vertical="center" wrapText="1"/>
      <protection locked="0"/>
    </xf>
    <xf numFmtId="49" fontId="8" fillId="21" borderId="589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589" xfId="0" applyFont="1" applyBorder="1" applyAlignment="1">
      <alignment horizontal="left" vertical="center" wrapText="1"/>
    </xf>
    <xf numFmtId="49" fontId="8" fillId="0" borderId="566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63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2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30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63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637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637" xfId="6" applyNumberFormat="1" applyFont="1" applyFill="1" applyBorder="1" applyAlignment="1" applyProtection="1">
      <alignment horizontal="left" vertical="center"/>
      <protection locked="0"/>
    </xf>
    <xf numFmtId="49" fontId="13" fillId="17" borderId="648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595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59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9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596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605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60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14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616" xfId="0" applyFont="1" applyBorder="1" applyAlignment="1">
      <alignment horizontal="left" vertical="center" wrapText="1"/>
    </xf>
    <xf numFmtId="49" fontId="8" fillId="0" borderId="61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61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8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81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637" xfId="6" applyNumberFormat="1" applyFont="1" applyFill="1" applyBorder="1" applyAlignment="1" applyProtection="1">
      <alignment horizontal="left" vertical="center" wrapText="1"/>
      <protection locked="0"/>
    </xf>
    <xf numFmtId="0" fontId="6" fillId="0" borderId="637" xfId="0" applyFont="1" applyBorder="1" applyAlignment="1">
      <alignment horizontal="left" vertical="center" wrapText="1"/>
    </xf>
    <xf numFmtId="49" fontId="8" fillId="0" borderId="178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7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68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8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84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8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86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65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6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67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67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3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709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710" xfId="6" applyNumberFormat="1" applyFont="1" applyFill="1" applyBorder="1" applyAlignment="1" applyProtection="1">
      <alignment horizontal="center" vertical="center" wrapText="1"/>
      <protection locked="0"/>
    </xf>
    <xf numFmtId="49" fontId="8" fillId="21" borderId="703" xfId="6" applyNumberFormat="1" applyFont="1" applyFill="1" applyBorder="1" applyAlignment="1" applyProtection="1">
      <alignment horizontal="left" vertical="center" wrapText="1"/>
      <protection locked="0"/>
    </xf>
    <xf numFmtId="49" fontId="8" fillId="21" borderId="704" xfId="6" applyNumberFormat="1" applyFont="1" applyFill="1" applyBorder="1" applyAlignment="1" applyProtection="1">
      <alignment horizontal="left" vertical="center" wrapText="1"/>
      <protection locked="0"/>
    </xf>
    <xf numFmtId="49" fontId="5" fillId="21" borderId="711" xfId="6" applyNumberFormat="1" applyFont="1" applyFill="1" applyBorder="1" applyAlignment="1" applyProtection="1">
      <alignment horizontal="left" vertical="center" wrapText="1"/>
      <protection locked="0"/>
    </xf>
    <xf numFmtId="49" fontId="5" fillId="21" borderId="712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69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17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717" xfId="6" applyNumberFormat="1" applyFont="1" applyFill="1" applyBorder="1" applyAlignment="1" applyProtection="1">
      <alignment horizontal="left" vertical="center"/>
      <protection locked="0"/>
    </xf>
    <xf numFmtId="49" fontId="8" fillId="0" borderId="69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706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732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6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1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5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51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769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695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71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33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736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778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77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80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780" xfId="6" applyNumberFormat="1" applyFont="1" applyFill="1" applyBorder="1" applyAlignment="1" applyProtection="1">
      <alignment horizontal="left" vertical="center"/>
      <protection locked="0"/>
    </xf>
    <xf numFmtId="49" fontId="32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32" fillId="0" borderId="77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9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9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76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4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9" fontId="32" fillId="17" borderId="772" xfId="6" applyNumberFormat="1" applyFont="1" applyFill="1" applyBorder="1" applyAlignment="1" applyProtection="1">
      <alignment horizontal="left" vertical="center" wrapText="1"/>
      <protection locked="0"/>
    </xf>
    <xf numFmtId="0" fontId="86" fillId="0" borderId="772" xfId="0" applyFont="1" applyBorder="1" applyAlignment="1">
      <alignment horizontal="left" vertical="center" wrapText="1"/>
    </xf>
    <xf numFmtId="49" fontId="35" fillId="0" borderId="77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69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769" xfId="6" applyNumberFormat="1" applyFont="1" applyFill="1" applyBorder="1" applyAlignment="1" applyProtection="1">
      <alignment horizontal="left" vertical="center"/>
      <protection locked="0"/>
    </xf>
    <xf numFmtId="49" fontId="32" fillId="17" borderId="42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30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30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128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283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32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321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320" xfId="6" applyNumberFormat="1" applyFont="1" applyFill="1" applyBorder="1" applyAlignment="1" applyProtection="1">
      <alignment horizontal="left" vertical="center"/>
      <protection locked="0"/>
    </xf>
    <xf numFmtId="0" fontId="13" fillId="0" borderId="1321" xfId="6" applyNumberFormat="1" applyFont="1" applyFill="1" applyBorder="1" applyAlignment="1" applyProtection="1">
      <alignment horizontal="left" vertical="center"/>
      <protection locked="0"/>
    </xf>
    <xf numFmtId="49" fontId="31" fillId="0" borderId="796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797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796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79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0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805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282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283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320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321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1320" xfId="6" applyNumberFormat="1" applyFont="1" applyFill="1" applyBorder="1" applyAlignment="1" applyProtection="1">
      <alignment horizontal="left" vertical="center"/>
      <protection locked="0"/>
    </xf>
    <xf numFmtId="0" fontId="32" fillId="0" borderId="1321" xfId="6" applyNumberFormat="1" applyFont="1" applyFill="1" applyBorder="1" applyAlignment="1" applyProtection="1">
      <alignment horizontal="left" vertical="center"/>
      <protection locked="0"/>
    </xf>
    <xf numFmtId="49" fontId="5" fillId="17" borderId="83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3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4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44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843" xfId="6" applyNumberFormat="1" applyFont="1" applyFill="1" applyBorder="1" applyAlignment="1" applyProtection="1">
      <alignment horizontal="left" vertical="center" wrapText="1"/>
      <protection locked="0"/>
    </xf>
    <xf numFmtId="0" fontId="6" fillId="0" borderId="844" xfId="0" applyFont="1" applyBorder="1" applyAlignment="1">
      <alignment horizontal="left" vertical="center" wrapText="1"/>
    </xf>
    <xf numFmtId="49" fontId="5" fillId="21" borderId="860" xfId="6" applyNumberFormat="1" applyFont="1" applyFill="1" applyBorder="1" applyAlignment="1" applyProtection="1">
      <alignment horizontal="left" vertical="center" wrapText="1"/>
      <protection locked="0"/>
    </xf>
    <xf numFmtId="49" fontId="5" fillId="21" borderId="861" xfId="6" applyNumberFormat="1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49" fontId="35" fillId="17" borderId="658" xfId="6" applyNumberFormat="1" applyFont="1" applyFill="1" applyBorder="1" applyAlignment="1" applyProtection="1">
      <alignment horizontal="left" vertical="center" wrapText="1"/>
      <protection locked="0"/>
    </xf>
    <xf numFmtId="0" fontId="2" fillId="0" borderId="658" xfId="0" applyFont="1" applyBorder="1" applyAlignment="1">
      <alignment horizontal="left" vertical="center" wrapText="1"/>
    </xf>
    <xf numFmtId="49" fontId="31" fillId="17" borderId="861" xfId="6" applyNumberFormat="1" applyFont="1" applyFill="1" applyBorder="1" applyAlignment="1" applyProtection="1">
      <alignment horizontal="left" vertical="center" wrapText="1"/>
      <protection locked="0"/>
    </xf>
    <xf numFmtId="0" fontId="1" fillId="0" borderId="861" xfId="0" applyFont="1" applyBorder="1" applyAlignment="1">
      <alignment horizontal="left" vertical="center" wrapText="1"/>
    </xf>
    <xf numFmtId="49" fontId="13" fillId="17" borderId="415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132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41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32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60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61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328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834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82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6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6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868" xfId="6" applyNumberFormat="1" applyFont="1" applyFill="1" applyBorder="1" applyAlignment="1" applyProtection="1">
      <alignment horizontal="center" vertical="center" wrapText="1"/>
      <protection locked="0"/>
    </xf>
    <xf numFmtId="49" fontId="8" fillId="17" borderId="861" xfId="6" applyNumberFormat="1" applyFont="1" applyFill="1" applyBorder="1" applyAlignment="1" applyProtection="1">
      <alignment horizontal="left" vertical="center" wrapText="1"/>
      <protection locked="0"/>
    </xf>
    <xf numFmtId="0" fontId="87" fillId="0" borderId="861" xfId="0" applyFont="1" applyBorder="1" applyAlignment="1">
      <alignment horizontal="left" vertical="center" wrapText="1"/>
    </xf>
    <xf numFmtId="0" fontId="84" fillId="0" borderId="861" xfId="0" applyFont="1" applyBorder="1" applyAlignment="1">
      <alignment horizontal="left" vertical="center" wrapText="1"/>
    </xf>
    <xf numFmtId="49" fontId="35" fillId="0" borderId="778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861" xfId="6" applyNumberFormat="1" applyFont="1" applyFill="1" applyBorder="1" applyAlignment="1" applyProtection="1">
      <alignment horizontal="left" vertical="center" wrapText="1"/>
      <protection locked="0"/>
    </xf>
    <xf numFmtId="0" fontId="2" fillId="0" borderId="861" xfId="0" applyFont="1" applyBorder="1" applyAlignment="1">
      <alignment horizontal="left" vertical="center" wrapText="1"/>
    </xf>
    <xf numFmtId="49" fontId="31" fillId="17" borderId="7" xfId="6" applyNumberFormat="1" applyFont="1" applyFill="1" applyBorder="1" applyAlignment="1" applyProtection="1">
      <alignment horizontal="center" vertical="center" wrapText="1"/>
      <protection locked="0"/>
    </xf>
    <xf numFmtId="49" fontId="35" fillId="0" borderId="658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31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871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7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73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872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873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831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832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831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832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9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30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872" xfId="6" applyNumberFormat="1" applyFont="1" applyFill="1" applyBorder="1" applyAlignment="1" applyProtection="1">
      <alignment horizontal="left" vertical="center"/>
      <protection locked="0"/>
    </xf>
    <xf numFmtId="49" fontId="13" fillId="17" borderId="88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7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880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658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871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873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center" vertical="center" wrapText="1"/>
    </xf>
    <xf numFmtId="0" fontId="84" fillId="0" borderId="7" xfId="0" applyFont="1" applyBorder="1" applyAlignment="1">
      <alignment horizontal="center" vertical="center" wrapText="1"/>
    </xf>
    <xf numFmtId="49" fontId="8" fillId="17" borderId="880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252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7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97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897" xfId="0" applyFont="1" applyBorder="1" applyAlignment="1">
      <alignment horizontal="left" vertical="center" wrapText="1"/>
    </xf>
    <xf numFmtId="49" fontId="5" fillId="17" borderId="880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880" xfId="0" applyFont="1" applyBorder="1" applyAlignment="1">
      <alignment horizontal="left" vertical="center" wrapText="1"/>
    </xf>
    <xf numFmtId="49" fontId="5" fillId="17" borderId="936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937" xfId="0" applyFont="1" applyBorder="1" applyAlignment="1">
      <alignment horizontal="left" vertical="center" wrapText="1"/>
    </xf>
    <xf numFmtId="49" fontId="8" fillId="0" borderId="94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41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941" xfId="6" applyNumberFormat="1" applyFont="1" applyFill="1" applyBorder="1" applyAlignment="1" applyProtection="1">
      <alignment horizontal="left" vertical="center"/>
      <protection locked="0"/>
    </xf>
    <xf numFmtId="49" fontId="13" fillId="17" borderId="94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5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97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897" xfId="6" applyNumberFormat="1" applyFont="1" applyFill="1" applyBorder="1" applyAlignment="1" applyProtection="1">
      <alignment horizontal="left" vertical="center"/>
      <protection locked="0"/>
    </xf>
    <xf numFmtId="49" fontId="5" fillId="17" borderId="90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880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936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937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77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80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65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69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965" xfId="6" applyNumberFormat="1" applyFont="1" applyFill="1" applyBorder="1" applyAlignment="1" applyProtection="1">
      <alignment horizontal="left" vertical="center"/>
      <protection locked="0"/>
    </xf>
    <xf numFmtId="0" fontId="13" fillId="0" borderId="969" xfId="6" applyNumberFormat="1" applyFont="1" applyFill="1" applyBorder="1" applyAlignment="1" applyProtection="1">
      <alignment horizontal="left" vertical="center"/>
      <protection locked="0"/>
    </xf>
    <xf numFmtId="49" fontId="13" fillId="17" borderId="965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96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7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8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819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957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96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40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940" xfId="0" applyFont="1" applyBorder="1" applyAlignment="1">
      <alignment horizontal="left" vertical="center" wrapText="1"/>
    </xf>
    <xf numFmtId="49" fontId="31" fillId="0" borderId="95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000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988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003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0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05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949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93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5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32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991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99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9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992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64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6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996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969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996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969" xfId="6" applyNumberFormat="1" applyFont="1" applyFill="1" applyBorder="1" applyAlignment="1" applyProtection="1">
      <alignment horizontal="left" vertical="center" wrapText="1"/>
      <protection locked="0"/>
    </xf>
    <xf numFmtId="49" fontId="31" fillId="21" borderId="1014" xfId="6" applyNumberFormat="1" applyFont="1" applyFill="1" applyBorder="1" applyAlignment="1" applyProtection="1">
      <alignment horizontal="left" vertical="center" wrapText="1"/>
      <protection locked="0"/>
    </xf>
    <xf numFmtId="0" fontId="1" fillId="0" borderId="1014" xfId="0" applyFont="1" applyBorder="1" applyAlignment="1">
      <alignment horizontal="left" vertical="center" wrapText="1"/>
    </xf>
    <xf numFmtId="49" fontId="35" fillId="17" borderId="936" xfId="6" applyNumberFormat="1" applyFont="1" applyFill="1" applyBorder="1" applyAlignment="1" applyProtection="1">
      <alignment horizontal="left" wrapText="1"/>
      <protection locked="0"/>
    </xf>
    <xf numFmtId="49" fontId="35" fillId="17" borderId="819" xfId="6" applyNumberFormat="1" applyFont="1" applyFill="1" applyBorder="1" applyAlignment="1" applyProtection="1">
      <alignment horizontal="left" wrapText="1"/>
      <protection locked="0"/>
    </xf>
    <xf numFmtId="49" fontId="31" fillId="17" borderId="1014" xfId="6" applyNumberFormat="1" applyFont="1" applyFill="1" applyBorder="1" applyAlignment="1" applyProtection="1">
      <alignment horizontal="left" vertical="center" wrapText="1"/>
      <protection locked="0"/>
    </xf>
    <xf numFmtId="49" fontId="31" fillId="6" borderId="14" xfId="6" applyNumberFormat="1" applyFont="1" applyFill="1" applyBorder="1" applyAlignment="1" applyProtection="1">
      <alignment horizontal="center" vertical="center" wrapText="1"/>
      <protection locked="0"/>
    </xf>
    <xf numFmtId="49" fontId="35" fillId="17" borderId="98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98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1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11" xfId="6" applyNumberFormat="1" applyFont="1" applyFill="1" applyBorder="1" applyAlignment="1" applyProtection="1">
      <alignment horizontal="left" vertical="center" wrapText="1"/>
      <protection locked="0"/>
    </xf>
    <xf numFmtId="49" fontId="35" fillId="21" borderId="981" xfId="6" applyNumberFormat="1" applyFont="1" applyFill="1" applyBorder="1" applyAlignment="1" applyProtection="1">
      <alignment horizontal="left" vertical="center" wrapText="1"/>
      <protection locked="0"/>
    </xf>
    <xf numFmtId="0" fontId="1" fillId="0" borderId="981" xfId="0" applyFont="1" applyBorder="1" applyAlignment="1">
      <alignment horizontal="left" vertical="center" wrapText="1"/>
    </xf>
    <xf numFmtId="49" fontId="35" fillId="17" borderId="77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16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981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014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014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1014" xfId="6" applyNumberFormat="1" applyFont="1" applyFill="1" applyBorder="1" applyAlignment="1" applyProtection="1">
      <alignment horizontal="left" vertical="center"/>
      <protection locked="0"/>
    </xf>
    <xf numFmtId="49" fontId="13" fillId="17" borderId="101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94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932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949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981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02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31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32" xfId="6" applyNumberFormat="1" applyFont="1" applyFill="1" applyBorder="1" applyAlignment="1" applyProtection="1">
      <alignment horizontal="left" vertical="center" wrapText="1"/>
      <protection locked="0"/>
    </xf>
    <xf numFmtId="49" fontId="10" fillId="0" borderId="199" xfId="6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11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14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014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014" xfId="6" applyNumberFormat="1" applyFont="1" applyFill="1" applyBorder="1" applyAlignment="1" applyProtection="1">
      <alignment horizontal="left" vertical="center"/>
      <protection locked="0"/>
    </xf>
    <xf numFmtId="49" fontId="31" fillId="17" borderId="1038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039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64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6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25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vertical="center" wrapText="1"/>
    </xf>
    <xf numFmtId="49" fontId="31" fillId="0" borderId="105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060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07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7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77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119" xfId="6" applyNumberFormat="1" applyFont="1" applyFill="1" applyBorder="1" applyAlignment="1" applyProtection="1">
      <alignment horizontal="left" vertical="center" wrapText="1"/>
      <protection locked="0"/>
    </xf>
    <xf numFmtId="0" fontId="6" fillId="0" borderId="807" xfId="0" applyFont="1" applyBorder="1" applyAlignment="1">
      <alignment horizontal="left" vertical="center" wrapText="1"/>
    </xf>
    <xf numFmtId="49" fontId="13" fillId="17" borderId="981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056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05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55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5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092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07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10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20" xfId="6" applyNumberFormat="1" applyFont="1" applyFill="1" applyBorder="1" applyAlignment="1" applyProtection="1">
      <alignment horizontal="left" vertical="center" wrapText="1"/>
      <protection locked="0"/>
    </xf>
    <xf numFmtId="49" fontId="16" fillId="0" borderId="14" xfId="6" applyNumberFormat="1" applyFont="1" applyFill="1" applyBorder="1" applyAlignment="1" applyProtection="1">
      <alignment horizontal="center" vertical="center" wrapText="1"/>
      <protection locked="0"/>
    </xf>
    <xf numFmtId="49" fontId="35" fillId="0" borderId="1125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26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2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28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093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094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936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819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7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4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41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44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16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68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55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69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1125" xfId="6" applyNumberFormat="1" applyFont="1" applyFill="1" applyBorder="1" applyAlignment="1" applyProtection="1">
      <alignment horizontal="left" vertical="center" wrapText="1"/>
      <protection locked="0"/>
    </xf>
    <xf numFmtId="49" fontId="8" fillId="17" borderId="1126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3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34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0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083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1138" xfId="6" applyNumberFormat="1" applyFont="1" applyFill="1" applyBorder="1" applyAlignment="1" applyProtection="1">
      <alignment horizontal="left" vertical="center"/>
      <protection locked="0"/>
    </xf>
    <xf numFmtId="49" fontId="32" fillId="17" borderId="1143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73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7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083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178" xfId="6" applyNumberFormat="1" applyFont="1" applyFill="1" applyBorder="1" applyAlignment="1" applyProtection="1">
      <alignment horizontal="left" vertical="center"/>
      <protection locked="0"/>
    </xf>
    <xf numFmtId="49" fontId="13" fillId="17" borderId="11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73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67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155" xfId="6" applyNumberFormat="1" applyFont="1" applyFill="1" applyBorder="1" applyAlignment="1" applyProtection="1">
      <alignment horizontal="left" vertical="center"/>
      <protection locked="0"/>
    </xf>
    <xf numFmtId="49" fontId="31" fillId="0" borderId="1191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187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92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93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178" xfId="6" applyNumberFormat="1" applyFont="1" applyFill="1" applyBorder="1" applyAlignment="1" applyProtection="1">
      <alignment horizontal="left" vertical="center" wrapText="1"/>
      <protection locked="0"/>
    </xf>
    <xf numFmtId="49" fontId="5" fillId="21" borderId="1179" xfId="6" applyNumberFormat="1" applyFont="1" applyFill="1" applyBorder="1" applyAlignment="1" applyProtection="1">
      <alignment horizontal="left" vertical="center" wrapText="1"/>
      <protection locked="0"/>
    </xf>
    <xf numFmtId="49" fontId="5" fillId="21" borderId="118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187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1187" xfId="0" applyFont="1" applyBorder="1" applyAlignment="1">
      <alignment horizontal="left" vertical="center" wrapText="1"/>
    </xf>
    <xf numFmtId="49" fontId="5" fillId="0" borderId="1191" xfId="6" applyNumberFormat="1" applyFont="1" applyFill="1" applyBorder="1" applyAlignment="1" applyProtection="1">
      <alignment horizontal="left" vertical="center" wrapText="1"/>
      <protection locked="0"/>
    </xf>
    <xf numFmtId="0" fontId="32" fillId="0" borderId="1178" xfId="6" applyNumberFormat="1" applyFont="1" applyFill="1" applyBorder="1" applyAlignment="1" applyProtection="1">
      <alignment horizontal="left" vertical="center"/>
      <protection locked="0"/>
    </xf>
    <xf numFmtId="49" fontId="13" fillId="17" borderId="1187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228" xfId="6" applyNumberFormat="1" applyFont="1" applyFill="1" applyBorder="1" applyAlignment="1" applyProtection="1">
      <alignment horizontal="left" vertical="center"/>
      <protection locked="0"/>
    </xf>
    <xf numFmtId="0" fontId="13" fillId="0" borderId="1229" xfId="6" applyNumberFormat="1" applyFont="1" applyFill="1" applyBorder="1" applyAlignment="1" applyProtection="1">
      <alignment horizontal="left" vertical="center"/>
      <protection locked="0"/>
    </xf>
    <xf numFmtId="49" fontId="13" fillId="0" borderId="1191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1223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1224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7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41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176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1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2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231" xfId="6" applyNumberFormat="1" applyFont="1" applyFill="1" applyBorder="1" applyAlignment="1" applyProtection="1">
      <alignment horizontal="center" vertical="center" wrapText="1"/>
      <protection locked="0"/>
    </xf>
    <xf numFmtId="49" fontId="8" fillId="0" borderId="1232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233" xfId="6" applyNumberFormat="1" applyFont="1" applyFill="1" applyBorder="1" applyAlignment="1" applyProtection="1">
      <alignment horizontal="left" vertical="center" wrapText="1"/>
      <protection locked="0"/>
    </xf>
    <xf numFmtId="0" fontId="84" fillId="0" borderId="1178" xfId="0" applyFont="1" applyBorder="1" applyAlignment="1">
      <alignment horizontal="left" vertical="center" wrapText="1"/>
    </xf>
    <xf numFmtId="49" fontId="5" fillId="0" borderId="120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36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237" xfId="0" applyFont="1" applyBorder="1" applyAlignment="1">
      <alignment vertical="center" wrapText="1"/>
    </xf>
    <xf numFmtId="49" fontId="35" fillId="17" borderId="1187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187" xfId="0" applyFont="1" applyBorder="1" applyAlignment="1">
      <alignment horizontal="left" vertical="center" wrapText="1"/>
    </xf>
    <xf numFmtId="49" fontId="31" fillId="17" borderId="1187" xfId="6" applyNumberFormat="1" applyFont="1" applyFill="1" applyBorder="1" applyAlignment="1" applyProtection="1">
      <alignment horizontal="left" vertical="center" wrapText="1"/>
      <protection locked="0"/>
    </xf>
    <xf numFmtId="0" fontId="1" fillId="0" borderId="1187" xfId="0" applyFont="1" applyBorder="1" applyAlignment="1">
      <alignment horizontal="left" vertical="center" wrapText="1"/>
    </xf>
    <xf numFmtId="49" fontId="31" fillId="0" borderId="1187" xfId="6" applyNumberFormat="1" applyFont="1" applyFill="1" applyBorder="1" applyAlignment="1" applyProtection="1">
      <alignment horizontal="left" vertical="center" wrapText="1"/>
      <protection locked="0"/>
    </xf>
    <xf numFmtId="49" fontId="32" fillId="0" borderId="1232" xfId="6" applyNumberFormat="1" applyFont="1" applyFill="1" applyBorder="1" applyAlignment="1" applyProtection="1">
      <alignment horizontal="left" vertical="center" wrapText="1"/>
      <protection locked="0"/>
    </xf>
    <xf numFmtId="49" fontId="32" fillId="0" borderId="113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3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178" xfId="6" applyNumberFormat="1" applyFont="1" applyFill="1" applyBorder="1" applyAlignment="1" applyProtection="1">
      <alignment horizontal="left" vertical="center" wrapText="1"/>
      <protection locked="0"/>
    </xf>
    <xf numFmtId="0" fontId="1" fillId="0" borderId="1178" xfId="0" applyFont="1" applyBorder="1" applyAlignment="1">
      <alignment horizontal="left" vertical="center" wrapText="1"/>
    </xf>
    <xf numFmtId="49" fontId="32" fillId="17" borderId="1245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24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3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45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248" xfId="0" applyFont="1" applyBorder="1" applyAlignment="1">
      <alignment horizontal="center" vertical="center" wrapText="1"/>
    </xf>
    <xf numFmtId="49" fontId="31" fillId="17" borderId="1205" xfId="6" applyNumberFormat="1" applyFont="1" applyFill="1" applyBorder="1" applyAlignment="1" applyProtection="1">
      <alignment horizontal="center" vertical="center" wrapText="1"/>
      <protection locked="0"/>
    </xf>
    <xf numFmtId="0" fontId="1" fillId="0" borderId="1206" xfId="0" applyFont="1" applyBorder="1" applyAlignment="1">
      <alignment vertical="center" wrapText="1"/>
    </xf>
    <xf numFmtId="49" fontId="35" fillId="17" borderId="123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230" xfId="0" applyFont="1" applyBorder="1" applyAlignment="1">
      <alignment horizontal="left" vertical="center" wrapText="1"/>
    </xf>
    <xf numFmtId="49" fontId="31" fillId="17" borderId="1239" xfId="6" applyNumberFormat="1" applyFont="1" applyFill="1" applyBorder="1" applyAlignment="1" applyProtection="1">
      <alignment horizontal="left" vertical="center" wrapText="1"/>
      <protection locked="0"/>
    </xf>
    <xf numFmtId="0" fontId="1" fillId="0" borderId="1239" xfId="0" applyFont="1" applyBorder="1" applyAlignment="1">
      <alignment horizontal="left" vertical="center" wrapText="1"/>
    </xf>
    <xf numFmtId="49" fontId="35" fillId="17" borderId="1141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182" xfId="0" applyFont="1" applyBorder="1" applyAlignment="1">
      <alignment horizontal="left" vertical="center" wrapText="1"/>
    </xf>
    <xf numFmtId="49" fontId="35" fillId="0" borderId="1251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57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25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4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98" xfId="6" applyNumberFormat="1" applyFont="1" applyFill="1" applyBorder="1" applyAlignment="1" applyProtection="1">
      <alignment horizontal="center" vertical="center" wrapText="1"/>
      <protection locked="0"/>
    </xf>
    <xf numFmtId="49" fontId="35" fillId="17" borderId="1257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258" xfId="6" applyNumberFormat="1" applyFont="1" applyFill="1" applyBorder="1" applyAlignment="1" applyProtection="1">
      <alignment horizontal="left" vertical="center" wrapText="1"/>
      <protection locked="0"/>
    </xf>
    <xf numFmtId="49" fontId="35" fillId="0" borderId="1230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17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0" xfId="6" applyNumberFormat="1" applyFont="1" applyFill="1" applyBorder="1" applyAlignment="1" applyProtection="1">
      <alignment horizontal="left" vertical="center" wrapText="1"/>
      <protection locked="0"/>
    </xf>
    <xf numFmtId="49" fontId="35" fillId="17" borderId="123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0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1" xfId="6" applyNumberFormat="1" applyFont="1" applyFill="1" applyBorder="1" applyAlignment="1" applyProtection="1">
      <alignment horizontal="left" vertical="center" wrapText="1"/>
      <protection locked="0"/>
    </xf>
    <xf numFmtId="49" fontId="32" fillId="17" borderId="1239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1178" xfId="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4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48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9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65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66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14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45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5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84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245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288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72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187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623" xfId="6" applyNumberFormat="1" applyFont="1" applyFill="1" applyBorder="1" applyAlignment="1" applyProtection="1">
      <alignment horizontal="center" vertical="center" wrapText="1"/>
      <protection locked="0"/>
    </xf>
    <xf numFmtId="49" fontId="5" fillId="17" borderId="624" xfId="6" applyNumberFormat="1" applyFont="1" applyFill="1" applyBorder="1" applyAlignment="1" applyProtection="1">
      <alignment horizontal="center" vertical="center" wrapText="1"/>
      <protection locked="0"/>
    </xf>
    <xf numFmtId="49" fontId="13" fillId="17" borderId="625" xfId="6" applyNumberFormat="1" applyFont="1" applyFill="1" applyBorder="1" applyAlignment="1" applyProtection="1">
      <alignment horizontal="left" vertical="center" wrapText="1"/>
      <protection locked="0"/>
    </xf>
    <xf numFmtId="0" fontId="6" fillId="0" borderId="625" xfId="0" applyFont="1" applyBorder="1" applyAlignment="1">
      <alignment horizontal="left" vertical="center" wrapText="1"/>
    </xf>
    <xf numFmtId="49" fontId="5" fillId="0" borderId="199" xfId="6" applyNumberFormat="1" applyFont="1" applyFill="1" applyBorder="1" applyAlignment="1" applyProtection="1">
      <alignment horizontal="center" vertical="center" wrapText="1"/>
      <protection locked="0"/>
    </xf>
    <xf numFmtId="49" fontId="8" fillId="17" borderId="1178" xfId="6" applyNumberFormat="1" applyFont="1" applyFill="1" applyBorder="1" applyAlignment="1" applyProtection="1">
      <alignment horizontal="left" vertical="center" wrapText="1"/>
      <protection locked="0"/>
    </xf>
    <xf numFmtId="49" fontId="8" fillId="18" borderId="1234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81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35" xfId="6" applyNumberFormat="1" applyFont="1" applyFill="1" applyBorder="1" applyAlignment="1" applyProtection="1">
      <alignment horizontal="center" vertical="center" wrapText="1"/>
      <protection locked="0"/>
    </xf>
    <xf numFmtId="49" fontId="8" fillId="18" borderId="1234" xfId="6" applyNumberFormat="1" applyFont="1" applyFill="1" applyBorder="1" applyAlignment="1" applyProtection="1">
      <alignment horizontal="center" vertical="top" wrapText="1"/>
      <protection locked="0"/>
    </xf>
    <xf numFmtId="49" fontId="8" fillId="18" borderId="1281" xfId="6" applyNumberFormat="1" applyFont="1" applyFill="1" applyBorder="1" applyAlignment="1" applyProtection="1">
      <alignment horizontal="center" vertical="top" wrapText="1"/>
      <protection locked="0"/>
    </xf>
    <xf numFmtId="49" fontId="8" fillId="18" borderId="1235" xfId="6" applyNumberFormat="1" applyFont="1" applyFill="1" applyBorder="1" applyAlignment="1" applyProtection="1">
      <alignment horizontal="center" vertical="top" wrapText="1"/>
      <protection locked="0"/>
    </xf>
    <xf numFmtId="49" fontId="12" fillId="10" borderId="1234" xfId="7" applyNumberFormat="1" applyFont="1" applyFill="1" applyBorder="1" applyAlignment="1">
      <alignment horizontal="left" vertical="center"/>
    </xf>
    <xf numFmtId="49" fontId="12" fillId="10" borderId="1281" xfId="7" applyNumberFormat="1" applyFont="1" applyFill="1" applyBorder="1" applyAlignment="1">
      <alignment horizontal="left" vertical="center"/>
    </xf>
    <xf numFmtId="49" fontId="12" fillId="10" borderId="1235" xfId="7" applyNumberFormat="1" applyFont="1" applyFill="1" applyBorder="1" applyAlignment="1">
      <alignment horizontal="left" vertical="center"/>
    </xf>
    <xf numFmtId="49" fontId="31" fillId="0" borderId="1176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206" xfId="6" applyNumberFormat="1" applyFont="1" applyFill="1" applyBorder="1" applyAlignment="1" applyProtection="1">
      <alignment horizontal="center" vertical="center" wrapText="1"/>
      <protection locked="0"/>
    </xf>
    <xf numFmtId="49" fontId="31" fillId="17" borderId="1207" xfId="6" applyNumberFormat="1" applyFont="1" applyFill="1" applyBorder="1" applyAlignment="1" applyProtection="1">
      <alignment horizontal="left" vertical="center" wrapText="1"/>
      <protection locked="0"/>
    </xf>
    <xf numFmtId="49" fontId="31" fillId="17" borderId="104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51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53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60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61" xfId="6" applyNumberFormat="1" applyFont="1" applyFill="1" applyBorder="1" applyAlignment="1" applyProtection="1">
      <alignment horizontal="left" vertical="center" wrapText="1"/>
      <protection locked="0"/>
    </xf>
    <xf numFmtId="0" fontId="13" fillId="0" borderId="1257" xfId="6" applyNumberFormat="1" applyFont="1" applyFill="1" applyBorder="1" applyAlignment="1" applyProtection="1">
      <alignment horizontal="left" vertical="center"/>
      <protection locked="0"/>
    </xf>
    <xf numFmtId="0" fontId="13" fillId="0" borderId="1284" xfId="6" applyNumberFormat="1" applyFont="1" applyFill="1" applyBorder="1" applyAlignment="1" applyProtection="1">
      <alignment horizontal="left" vertical="center"/>
      <protection locked="0"/>
    </xf>
    <xf numFmtId="49" fontId="13" fillId="17" borderId="1257" xfId="6" applyNumberFormat="1" applyFont="1" applyFill="1" applyBorder="1" applyAlignment="1" applyProtection="1">
      <alignment horizontal="left" vertical="center" wrapText="1"/>
      <protection locked="0"/>
    </xf>
    <xf numFmtId="49" fontId="13" fillId="17" borderId="1284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86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87" xfId="6" applyNumberFormat="1" applyFont="1" applyFill="1" applyBorder="1" applyAlignment="1" applyProtection="1">
      <alignment horizontal="left" vertical="center" wrapText="1"/>
      <protection locked="0"/>
    </xf>
    <xf numFmtId="49" fontId="16" fillId="17" borderId="1245" xfId="6" applyNumberFormat="1" applyFont="1" applyFill="1" applyBorder="1" applyAlignment="1" applyProtection="1">
      <alignment horizontal="center" vertical="center" wrapText="1"/>
      <protection locked="0"/>
    </xf>
    <xf numFmtId="49" fontId="16" fillId="17" borderId="1248" xfId="6" applyNumberFormat="1" applyFont="1" applyFill="1" applyBorder="1" applyAlignment="1" applyProtection="1">
      <alignment horizontal="center" vertical="center" wrapText="1"/>
      <protection locked="0"/>
    </xf>
    <xf numFmtId="49" fontId="5" fillId="0" borderId="1257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58" xfId="6" applyNumberFormat="1" applyFont="1" applyFill="1" applyBorder="1" applyAlignment="1" applyProtection="1">
      <alignment horizontal="left" vertical="center" wrapText="1"/>
      <protection locked="0"/>
    </xf>
    <xf numFmtId="49" fontId="8" fillId="0" borderId="1180" xfId="6" applyNumberFormat="1" applyFont="1" applyFill="1" applyBorder="1" applyAlignment="1" applyProtection="1">
      <alignment horizontal="left" vertical="center" wrapText="1"/>
      <protection locked="0"/>
    </xf>
    <xf numFmtId="49" fontId="5" fillId="17" borderId="1208" xfId="6" applyNumberFormat="1" applyFont="1" applyFill="1" applyBorder="1" applyAlignment="1" applyProtection="1">
      <alignment horizontal="left" vertical="center" wrapText="1"/>
      <protection locked="0"/>
    </xf>
    <xf numFmtId="49" fontId="5" fillId="0" borderId="1267" xfId="6" applyNumberFormat="1" applyFont="1" applyFill="1" applyBorder="1" applyAlignment="1" applyProtection="1">
      <alignment horizontal="left" vertical="center" wrapText="1"/>
      <protection locked="0"/>
    </xf>
    <xf numFmtId="0" fontId="88" fillId="0" borderId="0" xfId="4" applyFont="1" applyAlignment="1">
      <alignment horizontal="center" vertical="center" wrapText="1"/>
    </xf>
    <xf numFmtId="0" fontId="8" fillId="0" borderId="0" xfId="4" applyFont="1" applyAlignment="1">
      <alignment horizontal="left" vertical="center" wrapText="1"/>
    </xf>
    <xf numFmtId="49" fontId="8" fillId="0" borderId="42" xfId="4" applyNumberFormat="1" applyFont="1" applyBorder="1" applyAlignment="1">
      <alignment horizontal="center" vertical="top"/>
    </xf>
    <xf numFmtId="49" fontId="8" fillId="0" borderId="52" xfId="4" applyNumberFormat="1" applyFont="1" applyBorder="1" applyAlignment="1">
      <alignment horizontal="center" vertical="top"/>
    </xf>
    <xf numFmtId="0" fontId="8" fillId="13" borderId="51" xfId="4" applyFont="1" applyFill="1" applyBorder="1" applyAlignment="1">
      <alignment horizontal="center" vertical="center"/>
    </xf>
    <xf numFmtId="49" fontId="8" fillId="0" borderId="60" xfId="4" applyNumberFormat="1" applyFont="1" applyBorder="1" applyAlignment="1">
      <alignment horizontal="center" vertical="top"/>
    </xf>
    <xf numFmtId="49" fontId="8" fillId="0" borderId="61" xfId="4" applyNumberFormat="1" applyFont="1" applyBorder="1" applyAlignment="1">
      <alignment horizontal="center" vertical="top"/>
    </xf>
    <xf numFmtId="49" fontId="8" fillId="0" borderId="51" xfId="4" applyNumberFormat="1" applyFont="1" applyBorder="1" applyAlignment="1">
      <alignment horizontal="center" vertical="top"/>
    </xf>
    <xf numFmtId="49" fontId="8" fillId="12" borderId="63" xfId="4" applyNumberFormat="1" applyFont="1" applyFill="1" applyBorder="1" applyAlignment="1">
      <alignment horizontal="left" vertical="center"/>
    </xf>
    <xf numFmtId="49" fontId="8" fillId="0" borderId="63" xfId="4" applyNumberFormat="1" applyFont="1" applyBorder="1" applyAlignment="1">
      <alignment horizontal="center" vertical="top"/>
    </xf>
    <xf numFmtId="49" fontId="8" fillId="0" borderId="64" xfId="4" applyNumberFormat="1" applyFont="1" applyBorder="1" applyAlignment="1">
      <alignment horizontal="center" vertical="top"/>
    </xf>
    <xf numFmtId="49" fontId="8" fillId="0" borderId="46" xfId="4" applyNumberFormat="1" applyFont="1" applyBorder="1" applyAlignment="1">
      <alignment horizontal="center" vertical="top"/>
    </xf>
    <xf numFmtId="0" fontId="8" fillId="13" borderId="63" xfId="4" applyFont="1" applyFill="1" applyBorder="1" applyAlignment="1">
      <alignment horizontal="center" vertical="center"/>
    </xf>
    <xf numFmtId="49" fontId="8" fillId="0" borderId="149" xfId="4" applyNumberFormat="1" applyFont="1" applyBorder="1" applyAlignment="1">
      <alignment horizontal="center" vertical="top"/>
    </xf>
    <xf numFmtId="49" fontId="8" fillId="0" borderId="169" xfId="4" applyNumberFormat="1" applyFont="1" applyBorder="1" applyAlignment="1">
      <alignment horizontal="center" vertical="top"/>
    </xf>
    <xf numFmtId="49" fontId="8" fillId="0" borderId="138" xfId="4" applyNumberFormat="1" applyFont="1" applyBorder="1" applyAlignment="1">
      <alignment horizontal="center" vertical="top"/>
    </xf>
    <xf numFmtId="0" fontId="8" fillId="13" borderId="158" xfId="4" applyFont="1" applyFill="1" applyBorder="1" applyAlignment="1">
      <alignment horizontal="center" vertical="center"/>
    </xf>
    <xf numFmtId="49" fontId="8" fillId="0" borderId="158" xfId="4" applyNumberFormat="1" applyFont="1" applyBorder="1" applyAlignment="1">
      <alignment horizontal="center" vertical="top"/>
    </xf>
    <xf numFmtId="49" fontId="8" fillId="12" borderId="158" xfId="4" applyNumberFormat="1" applyFont="1" applyFill="1" applyBorder="1" applyAlignment="1">
      <alignment horizontal="left" vertical="center"/>
    </xf>
    <xf numFmtId="49" fontId="8" fillId="0" borderId="171" xfId="4" applyNumberFormat="1" applyFont="1" applyBorder="1" applyAlignment="1">
      <alignment horizontal="center" vertical="top"/>
    </xf>
    <xf numFmtId="49" fontId="8" fillId="0" borderId="92" xfId="4" applyNumberFormat="1" applyFont="1" applyBorder="1" applyAlignment="1">
      <alignment horizontal="center" vertical="top"/>
    </xf>
    <xf numFmtId="49" fontId="8" fillId="12" borderId="158" xfId="4" applyNumberFormat="1" applyFont="1" applyFill="1" applyBorder="1" applyAlignment="1">
      <alignment horizontal="left" vertical="center" wrapText="1"/>
    </xf>
    <xf numFmtId="49" fontId="8" fillId="12" borderId="63" xfId="4" applyNumberFormat="1" applyFont="1" applyFill="1" applyBorder="1" applyAlignment="1">
      <alignment horizontal="left" vertical="center" wrapText="1"/>
    </xf>
    <xf numFmtId="49" fontId="8" fillId="3" borderId="2" xfId="4" applyNumberFormat="1" applyFont="1" applyFill="1" applyBorder="1" applyAlignment="1">
      <alignment horizontal="center" vertical="center"/>
    </xf>
    <xf numFmtId="49" fontId="8" fillId="0" borderId="67" xfId="4" applyNumberFormat="1" applyFont="1" applyBorder="1" applyAlignment="1">
      <alignment horizontal="center" vertical="top"/>
    </xf>
    <xf numFmtId="0" fontId="13" fillId="0" borderId="0" xfId="4" applyFont="1" applyAlignment="1">
      <alignment horizontal="left" vertical="center" wrapText="1"/>
    </xf>
    <xf numFmtId="0" fontId="13" fillId="0" borderId="1" xfId="4" applyFont="1" applyBorder="1" applyAlignment="1">
      <alignment horizontal="right" vertical="center" wrapText="1"/>
    </xf>
    <xf numFmtId="0" fontId="8" fillId="3" borderId="49" xfId="4" applyFont="1" applyFill="1" applyBorder="1" applyAlignment="1">
      <alignment horizontal="center" vertical="center"/>
    </xf>
    <xf numFmtId="0" fontId="8" fillId="3" borderId="1291" xfId="4" applyFont="1" applyFill="1" applyBorder="1" applyAlignment="1">
      <alignment horizontal="center" vertical="center"/>
    </xf>
    <xf numFmtId="0" fontId="8" fillId="3" borderId="1294" xfId="4" applyFont="1" applyFill="1" applyBorder="1" applyAlignment="1">
      <alignment horizontal="center" vertical="center"/>
    </xf>
    <xf numFmtId="0" fontId="8" fillId="3" borderId="53" xfId="4" applyFont="1" applyFill="1" applyBorder="1" applyAlignment="1">
      <alignment horizontal="center" vertical="center"/>
    </xf>
    <xf numFmtId="0" fontId="8" fillId="3" borderId="1292" xfId="4" applyFont="1" applyFill="1" applyBorder="1" applyAlignment="1">
      <alignment horizontal="center" vertical="center"/>
    </xf>
    <xf numFmtId="0" fontId="8" fillId="3" borderId="1295" xfId="4" applyFont="1" applyFill="1" applyBorder="1" applyAlignment="1">
      <alignment horizontal="center" vertical="center"/>
    </xf>
    <xf numFmtId="0" fontId="8" fillId="3" borderId="72" xfId="4" applyFont="1" applyFill="1" applyBorder="1" applyAlignment="1">
      <alignment horizontal="center" vertical="center"/>
    </xf>
    <xf numFmtId="0" fontId="8" fillId="3" borderId="61" xfId="4" applyFont="1" applyFill="1" applyBorder="1" applyAlignment="1">
      <alignment horizontal="center" vertical="center"/>
    </xf>
    <xf numFmtId="0" fontId="8" fillId="3" borderId="66" xfId="4" applyFont="1" applyFill="1" applyBorder="1" applyAlignment="1">
      <alignment horizontal="center" vertical="center"/>
    </xf>
    <xf numFmtId="0" fontId="8" fillId="3" borderId="72" xfId="4" applyFont="1" applyFill="1" applyBorder="1" applyAlignment="1">
      <alignment horizontal="center" vertical="center" wrapText="1"/>
    </xf>
    <xf numFmtId="0" fontId="8" fillId="3" borderId="61" xfId="4" applyFont="1" applyFill="1" applyBorder="1" applyAlignment="1">
      <alignment horizontal="center" vertical="center" wrapText="1"/>
    </xf>
    <xf numFmtId="0" fontId="8" fillId="3" borderId="66" xfId="4" applyFont="1" applyFill="1" applyBorder="1" applyAlignment="1">
      <alignment horizontal="center" vertical="center" wrapText="1"/>
    </xf>
    <xf numFmtId="0" fontId="8" fillId="3" borderId="53" xfId="4" applyFont="1" applyFill="1" applyBorder="1" applyAlignment="1">
      <alignment horizontal="center" vertical="center" wrapText="1"/>
    </xf>
    <xf numFmtId="0" fontId="8" fillId="3" borderId="1292" xfId="4" applyFont="1" applyFill="1" applyBorder="1" applyAlignment="1">
      <alignment horizontal="center" vertical="center" wrapText="1"/>
    </xf>
    <xf numFmtId="0" fontId="8" fillId="3" borderId="1295" xfId="4" applyFont="1" applyFill="1" applyBorder="1" applyAlignment="1">
      <alignment horizontal="center" vertical="center" wrapText="1"/>
    </xf>
    <xf numFmtId="0" fontId="8" fillId="3" borderId="38" xfId="4" applyFont="1" applyFill="1" applyBorder="1" applyAlignment="1">
      <alignment horizontal="center" vertical="center" wrapText="1"/>
    </xf>
    <xf numFmtId="0" fontId="8" fillId="3" borderId="1251" xfId="4" applyFont="1" applyFill="1" applyBorder="1" applyAlignment="1">
      <alignment horizontal="center" vertical="center" wrapText="1"/>
    </xf>
    <xf numFmtId="0" fontId="8" fillId="3" borderId="1290" xfId="4" applyFont="1" applyFill="1" applyBorder="1" applyAlignment="1">
      <alignment horizontal="center" vertical="center" wrapText="1"/>
    </xf>
    <xf numFmtId="0" fontId="8" fillId="3" borderId="1274" xfId="4" applyFont="1" applyFill="1" applyBorder="1" applyAlignment="1">
      <alignment horizontal="center" vertical="center" wrapText="1"/>
    </xf>
    <xf numFmtId="0" fontId="8" fillId="3" borderId="1296" xfId="4" applyFont="1" applyFill="1" applyBorder="1" applyAlignment="1">
      <alignment horizontal="center" vertical="center" wrapText="1"/>
    </xf>
    <xf numFmtId="0" fontId="8" fillId="3" borderId="48" xfId="4" applyFont="1" applyFill="1" applyBorder="1" applyAlignment="1">
      <alignment horizontal="center" vertical="center" wrapText="1"/>
    </xf>
    <xf numFmtId="0" fontId="8" fillId="3" borderId="1264" xfId="4" applyFont="1" applyFill="1" applyBorder="1" applyAlignment="1">
      <alignment horizontal="center" vertical="center" wrapText="1"/>
    </xf>
    <xf numFmtId="0" fontId="8" fillId="3" borderId="1297" xfId="4" applyFont="1" applyFill="1" applyBorder="1" applyAlignment="1">
      <alignment horizontal="center" vertical="center" wrapText="1"/>
    </xf>
    <xf numFmtId="0" fontId="8" fillId="3" borderId="1293" xfId="4" applyFont="1" applyFill="1" applyBorder="1" applyAlignment="1">
      <alignment horizontal="center" vertical="center" wrapText="1"/>
    </xf>
    <xf numFmtId="49" fontId="8" fillId="0" borderId="1160" xfId="4" applyNumberFormat="1" applyFont="1" applyBorder="1" applyAlignment="1">
      <alignment horizontal="center" vertical="top"/>
    </xf>
    <xf numFmtId="0" fontId="8" fillId="14" borderId="1289" xfId="4" applyFont="1" applyFill="1" applyBorder="1" applyAlignment="1">
      <alignment horizontal="center" vertical="center"/>
    </xf>
    <xf numFmtId="49" fontId="8" fillId="0" borderId="1293" xfId="4" applyNumberFormat="1" applyFont="1" applyBorder="1" applyAlignment="1">
      <alignment horizontal="center" vertical="center"/>
    </xf>
    <xf numFmtId="49" fontId="8" fillId="0" borderId="61" xfId="4" applyNumberFormat="1" applyFont="1" applyBorder="1" applyAlignment="1">
      <alignment horizontal="center" vertical="center"/>
    </xf>
    <xf numFmtId="49" fontId="8" fillId="0" borderId="1289" xfId="4" applyNumberFormat="1" applyFont="1" applyBorder="1" applyAlignment="1">
      <alignment horizontal="center" vertical="center"/>
    </xf>
    <xf numFmtId="49" fontId="8" fillId="0" borderId="1293" xfId="4" applyNumberFormat="1" applyFont="1" applyBorder="1" applyAlignment="1">
      <alignment horizontal="center" vertical="center" wrapText="1"/>
    </xf>
    <xf numFmtId="49" fontId="8" fillId="0" borderId="61" xfId="4" applyNumberFormat="1" applyFont="1" applyBorder="1" applyAlignment="1">
      <alignment horizontal="center" vertical="center" wrapText="1"/>
    </xf>
    <xf numFmtId="49" fontId="8" fillId="0" borderId="1289" xfId="4" applyNumberFormat="1" applyFont="1" applyBorder="1" applyAlignment="1">
      <alignment horizontal="center" vertical="center" wrapText="1"/>
    </xf>
    <xf numFmtId="49" fontId="8" fillId="0" borderId="1277" xfId="4" applyNumberFormat="1" applyFont="1" applyBorder="1" applyAlignment="1">
      <alignment horizontal="center" vertical="top"/>
    </xf>
    <xf numFmtId="0" fontId="8" fillId="14" borderId="1274" xfId="4" applyFont="1" applyFill="1" applyBorder="1" applyAlignment="1">
      <alignment horizontal="center" vertical="center"/>
    </xf>
    <xf numFmtId="0" fontId="8" fillId="14" borderId="1298" xfId="4" applyFont="1" applyFill="1" applyBorder="1" applyAlignment="1">
      <alignment horizontal="center" vertical="center"/>
    </xf>
    <xf numFmtId="0" fontId="8" fillId="14" borderId="1292" xfId="4" applyFont="1" applyFill="1" applyBorder="1" applyAlignment="1">
      <alignment horizontal="center" vertical="center"/>
    </xf>
    <xf numFmtId="49" fontId="8" fillId="0" borderId="66" xfId="4" applyNumberFormat="1" applyFont="1" applyBorder="1" applyAlignment="1">
      <alignment horizontal="center" vertical="center"/>
    </xf>
    <xf numFmtId="49" fontId="8" fillId="0" borderId="66" xfId="4" applyNumberFormat="1" applyFont="1" applyBorder="1" applyAlignment="1">
      <alignment horizontal="center" vertical="center" wrapText="1"/>
    </xf>
    <xf numFmtId="49" fontId="8" fillId="0" borderId="1300" xfId="4" applyNumberFormat="1" applyFont="1" applyBorder="1" applyAlignment="1">
      <alignment horizontal="center" vertical="top"/>
    </xf>
    <xf numFmtId="0" fontId="8" fillId="14" borderId="53" xfId="4" applyFont="1" applyFill="1" applyBorder="1" applyAlignment="1">
      <alignment horizontal="center" vertical="center"/>
    </xf>
    <xf numFmtId="0" fontId="8" fillId="14" borderId="1274" xfId="4" applyFont="1" applyFill="1" applyBorder="1" applyAlignment="1">
      <alignment horizontal="center" vertical="center" wrapText="1"/>
    </xf>
    <xf numFmtId="0" fontId="8" fillId="14" borderId="1298" xfId="4" applyFont="1" applyFill="1" applyBorder="1" applyAlignment="1">
      <alignment horizontal="center" vertical="center" wrapText="1"/>
    </xf>
    <xf numFmtId="49" fontId="8" fillId="0" borderId="1299" xfId="4" applyNumberFormat="1" applyFont="1" applyBorder="1" applyAlignment="1">
      <alignment horizontal="center" vertical="center"/>
    </xf>
    <xf numFmtId="49" fontId="8" fillId="0" borderId="68" xfId="4" applyNumberFormat="1" applyFont="1" applyBorder="1" applyAlignment="1">
      <alignment horizontal="center" vertical="center"/>
    </xf>
    <xf numFmtId="49" fontId="8" fillId="0" borderId="1302" xfId="4" applyNumberFormat="1" applyFont="1" applyBorder="1" applyAlignment="1">
      <alignment horizontal="center" vertical="center"/>
    </xf>
    <xf numFmtId="49" fontId="8" fillId="0" borderId="171" xfId="4" applyNumberFormat="1" applyFont="1" applyBorder="1" applyAlignment="1">
      <alignment horizontal="center" vertical="center" wrapText="1"/>
    </xf>
    <xf numFmtId="49" fontId="8" fillId="0" borderId="172" xfId="4" applyNumberFormat="1" applyFont="1" applyBorder="1" applyAlignment="1">
      <alignment horizontal="center" vertical="center" wrapText="1"/>
    </xf>
    <xf numFmtId="49" fontId="8" fillId="0" borderId="177" xfId="4" applyNumberFormat="1" applyFont="1" applyBorder="1" applyAlignment="1">
      <alignment horizontal="center" vertical="center"/>
    </xf>
    <xf numFmtId="49" fontId="8" fillId="0" borderId="177" xfId="4" applyNumberFormat="1" applyFont="1" applyBorder="1" applyAlignment="1">
      <alignment horizontal="center" vertical="center" wrapText="1"/>
    </xf>
    <xf numFmtId="3" fontId="59" fillId="0" borderId="0" xfId="4" applyNumberFormat="1" applyFont="1" applyAlignment="1">
      <alignment horizontal="center" vertical="center" wrapText="1"/>
    </xf>
    <xf numFmtId="0" fontId="59" fillId="0" borderId="0" xfId="4" applyFont="1" applyAlignment="1">
      <alignment horizontal="center" vertical="center" wrapText="1"/>
    </xf>
    <xf numFmtId="0" fontId="8" fillId="14" borderId="1289" xfId="4" applyFont="1" applyFill="1" applyBorder="1" applyAlignment="1">
      <alignment horizontal="center" vertical="center" wrapText="1"/>
    </xf>
    <xf numFmtId="49" fontId="8" fillId="3" borderId="41" xfId="4" applyNumberFormat="1" applyFont="1" applyFill="1" applyBorder="1" applyAlignment="1">
      <alignment horizontal="center" vertical="center"/>
    </xf>
    <xf numFmtId="49" fontId="8" fillId="3" borderId="40" xfId="4" applyNumberFormat="1" applyFont="1" applyFill="1" applyBorder="1" applyAlignment="1">
      <alignment horizontal="center" vertical="center"/>
    </xf>
    <xf numFmtId="49" fontId="8" fillId="0" borderId="171" xfId="4" applyNumberFormat="1" applyFont="1" applyBorder="1" applyAlignment="1">
      <alignment horizontal="center" vertical="center"/>
    </xf>
    <xf numFmtId="49" fontId="8" fillId="0" borderId="172" xfId="4" applyNumberFormat="1" applyFont="1" applyBorder="1" applyAlignment="1">
      <alignment horizontal="center" vertical="center"/>
    </xf>
    <xf numFmtId="0" fontId="69" fillId="0" borderId="0" xfId="4" applyFont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11" borderId="76" xfId="4" applyFont="1" applyFill="1" applyBorder="1" applyAlignment="1">
      <alignment horizontal="center" vertical="center"/>
    </xf>
    <xf numFmtId="0" fontId="9" fillId="11" borderId="3" xfId="4" applyFont="1" applyFill="1" applyBorder="1" applyAlignment="1">
      <alignment horizontal="center" vertical="center"/>
    </xf>
    <xf numFmtId="0" fontId="9" fillId="11" borderId="14" xfId="4" applyFont="1" applyFill="1" applyBorder="1" applyAlignment="1">
      <alignment horizontal="center" vertical="center"/>
    </xf>
    <xf numFmtId="0" fontId="9" fillId="11" borderId="7" xfId="4" applyFont="1" applyFill="1" applyBorder="1" applyAlignment="1">
      <alignment horizontal="center" vertical="center"/>
    </xf>
    <xf numFmtId="0" fontId="9" fillId="11" borderId="3" xfId="4" applyFont="1" applyFill="1" applyBorder="1" applyAlignment="1">
      <alignment horizontal="center" vertical="center" wrapText="1"/>
    </xf>
    <xf numFmtId="0" fontId="9" fillId="11" borderId="14" xfId="4" applyFont="1" applyFill="1" applyBorder="1" applyAlignment="1">
      <alignment horizontal="center" vertical="center" wrapText="1"/>
    </xf>
    <xf numFmtId="0" fontId="9" fillId="11" borderId="7" xfId="4" applyFont="1" applyFill="1" applyBorder="1" applyAlignment="1">
      <alignment horizontal="center" vertical="center" wrapText="1"/>
    </xf>
    <xf numFmtId="0" fontId="9" fillId="11" borderId="74" xfId="4" applyFont="1" applyFill="1" applyBorder="1" applyAlignment="1">
      <alignment horizontal="center" vertical="center" wrapText="1"/>
    </xf>
    <xf numFmtId="0" fontId="9" fillId="11" borderId="4" xfId="4" applyFont="1" applyFill="1" applyBorder="1" applyAlignment="1">
      <alignment horizontal="center" vertical="center" wrapText="1"/>
    </xf>
    <xf numFmtId="0" fontId="9" fillId="11" borderId="28" xfId="4" applyFont="1" applyFill="1" applyBorder="1" applyAlignment="1">
      <alignment horizontal="center" vertical="center"/>
    </xf>
    <xf numFmtId="0" fontId="9" fillId="11" borderId="8" xfId="4" applyFont="1" applyFill="1" applyBorder="1" applyAlignment="1">
      <alignment horizontal="center" vertical="center"/>
    </xf>
    <xf numFmtId="0" fontId="9" fillId="11" borderId="1" xfId="4" applyFont="1" applyFill="1" applyBorder="1" applyAlignment="1">
      <alignment horizontal="center" vertical="center"/>
    </xf>
    <xf numFmtId="0" fontId="9" fillId="11" borderId="75" xfId="4" applyFont="1" applyFill="1" applyBorder="1" applyAlignment="1">
      <alignment horizontal="center" vertical="center" wrapText="1"/>
    </xf>
    <xf numFmtId="0" fontId="9" fillId="11" borderId="82" xfId="4" applyFont="1" applyFill="1" applyBorder="1" applyAlignment="1">
      <alignment horizontal="center" vertical="center" wrapText="1"/>
    </xf>
    <xf numFmtId="0" fontId="9" fillId="11" borderId="75" xfId="4" applyFont="1" applyFill="1" applyBorder="1" applyAlignment="1">
      <alignment horizontal="center" vertical="center"/>
    </xf>
    <xf numFmtId="0" fontId="44" fillId="6" borderId="3" xfId="4" applyFont="1" applyFill="1" applyBorder="1" applyAlignment="1">
      <alignment horizontal="center" vertical="center" wrapText="1"/>
    </xf>
    <xf numFmtId="0" fontId="44" fillId="6" borderId="14" xfId="4" applyFont="1" applyFill="1" applyBorder="1" applyAlignment="1">
      <alignment horizontal="center" vertical="center" wrapText="1"/>
    </xf>
    <xf numFmtId="0" fontId="44" fillId="6" borderId="7" xfId="4" applyFont="1" applyFill="1" applyBorder="1" applyAlignment="1">
      <alignment horizontal="center" vertical="center" wrapText="1"/>
    </xf>
    <xf numFmtId="49" fontId="9" fillId="0" borderId="25" xfId="4" applyNumberFormat="1" applyFont="1" applyBorder="1" applyAlignment="1">
      <alignment horizontal="center" vertical="center"/>
    </xf>
    <xf numFmtId="0" fontId="9" fillId="11" borderId="28" xfId="4" applyFont="1" applyFill="1" applyBorder="1" applyAlignment="1">
      <alignment horizontal="center" vertical="center" wrapText="1"/>
    </xf>
    <xf numFmtId="0" fontId="9" fillId="11" borderId="1" xfId="4" applyFont="1" applyFill="1" applyBorder="1" applyAlignment="1">
      <alignment horizontal="center" vertical="center" wrapText="1"/>
    </xf>
    <xf numFmtId="0" fontId="44" fillId="0" borderId="25" xfId="4" applyFont="1" applyBorder="1" applyAlignment="1">
      <alignment horizontal="center"/>
    </xf>
    <xf numFmtId="49" fontId="44" fillId="6" borderId="56" xfId="4" applyNumberFormat="1" applyFont="1" applyFill="1" applyBorder="1" applyAlignment="1">
      <alignment horizontal="center" vertical="center"/>
    </xf>
    <xf numFmtId="49" fontId="44" fillId="6" borderId="14" xfId="4" applyNumberFormat="1" applyFont="1" applyFill="1" applyBorder="1" applyAlignment="1">
      <alignment horizontal="center" vertical="center"/>
    </xf>
    <xf numFmtId="0" fontId="44" fillId="6" borderId="56" xfId="4" applyFont="1" applyFill="1" applyBorder="1" applyAlignment="1">
      <alignment horizontal="center" vertical="center" wrapText="1"/>
    </xf>
    <xf numFmtId="0" fontId="46" fillId="6" borderId="56" xfId="4" applyFont="1" applyFill="1" applyBorder="1" applyAlignment="1">
      <alignment horizontal="center" vertical="center" wrapText="1"/>
    </xf>
    <xf numFmtId="0" fontId="46" fillId="6" borderId="14" xfId="4" applyFont="1" applyFill="1" applyBorder="1" applyAlignment="1">
      <alignment horizontal="center" vertical="center" wrapText="1"/>
    </xf>
    <xf numFmtId="0" fontId="46" fillId="6" borderId="7" xfId="4" applyFont="1" applyFill="1" applyBorder="1" applyAlignment="1">
      <alignment horizontal="center" vertical="center" wrapText="1"/>
    </xf>
    <xf numFmtId="49" fontId="48" fillId="0" borderId="25" xfId="4" applyNumberFormat="1" applyFont="1" applyBorder="1" applyAlignment="1">
      <alignment horizontal="center" vertical="center"/>
    </xf>
    <xf numFmtId="49" fontId="46" fillId="6" borderId="56" xfId="4" applyNumberFormat="1" applyFont="1" applyFill="1" applyBorder="1" applyAlignment="1">
      <alignment horizontal="center" vertical="center"/>
    </xf>
    <xf numFmtId="49" fontId="46" fillId="6" borderId="14" xfId="4" applyNumberFormat="1" applyFont="1" applyFill="1" applyBorder="1" applyAlignment="1">
      <alignment horizontal="center" vertical="center"/>
    </xf>
    <xf numFmtId="49" fontId="46" fillId="6" borderId="56" xfId="4" applyNumberFormat="1" applyFont="1" applyFill="1" applyBorder="1" applyAlignment="1">
      <alignment horizontal="center" vertical="center" wrapText="1"/>
    </xf>
    <xf numFmtId="49" fontId="46" fillId="6" borderId="14" xfId="4" applyNumberFormat="1" applyFont="1" applyFill="1" applyBorder="1" applyAlignment="1">
      <alignment horizontal="center" vertical="center" wrapText="1"/>
    </xf>
    <xf numFmtId="49" fontId="9" fillId="0" borderId="4" xfId="4" applyNumberFormat="1" applyFont="1" applyBorder="1" applyAlignment="1">
      <alignment horizontal="center" vertical="center"/>
    </xf>
    <xf numFmtId="0" fontId="44" fillId="6" borderId="199" xfId="4" applyFont="1" applyFill="1" applyBorder="1" applyAlignment="1">
      <alignment horizontal="center" vertical="center" wrapText="1"/>
    </xf>
    <xf numFmtId="49" fontId="48" fillId="6" borderId="1271" xfId="4" applyNumberFormat="1" applyFont="1" applyFill="1" applyBorder="1" applyAlignment="1">
      <alignment horizontal="center" vertical="center"/>
    </xf>
    <xf numFmtId="49" fontId="48" fillId="6" borderId="14" xfId="4" applyNumberFormat="1" applyFont="1" applyFill="1" applyBorder="1" applyAlignment="1">
      <alignment horizontal="center" vertical="center"/>
    </xf>
    <xf numFmtId="0" fontId="48" fillId="6" borderId="1271" xfId="4" applyFont="1" applyFill="1" applyBorder="1" applyAlignment="1">
      <alignment horizontal="center" vertical="center" wrapText="1"/>
    </xf>
    <xf numFmtId="0" fontId="48" fillId="6" borderId="14" xfId="4" applyFont="1" applyFill="1" applyBorder="1" applyAlignment="1">
      <alignment horizontal="center" vertical="center" wrapText="1"/>
    </xf>
    <xf numFmtId="49" fontId="9" fillId="11" borderId="1220" xfId="4" applyNumberFormat="1" applyFont="1" applyFill="1" applyBorder="1" applyAlignment="1">
      <alignment horizontal="center" vertical="center"/>
    </xf>
    <xf numFmtId="49" fontId="9" fillId="11" borderId="1234" xfId="4" applyNumberFormat="1" applyFont="1" applyFill="1" applyBorder="1" applyAlignment="1">
      <alignment horizontal="center" vertical="center"/>
    </xf>
    <xf numFmtId="0" fontId="44" fillId="6" borderId="109" xfId="4" applyFont="1" applyFill="1" applyBorder="1" applyAlignment="1">
      <alignment horizontal="center" vertical="center" wrapText="1"/>
    </xf>
    <xf numFmtId="49" fontId="45" fillId="6" borderId="1271" xfId="4" applyNumberFormat="1" applyFont="1" applyFill="1" applyBorder="1" applyAlignment="1">
      <alignment horizontal="center" vertical="center" wrapText="1"/>
    </xf>
    <xf numFmtId="49" fontId="45" fillId="6" borderId="14" xfId="4" applyNumberFormat="1" applyFont="1" applyFill="1" applyBorder="1" applyAlignment="1">
      <alignment horizontal="center" vertical="center" wrapText="1"/>
    </xf>
    <xf numFmtId="0" fontId="44" fillId="6" borderId="1271" xfId="4" applyFont="1" applyFill="1" applyBorder="1" applyAlignment="1">
      <alignment horizontal="center" vertical="center" wrapText="1"/>
    </xf>
    <xf numFmtId="49" fontId="45" fillId="6" borderId="1271" xfId="4" applyNumberFormat="1" applyFont="1" applyFill="1" applyBorder="1" applyAlignment="1">
      <alignment horizontal="center" vertical="center"/>
    </xf>
    <xf numFmtId="49" fontId="45" fillId="6" borderId="14" xfId="4" applyNumberFormat="1" applyFont="1" applyFill="1" applyBorder="1" applyAlignment="1">
      <alignment horizontal="center" vertical="center"/>
    </xf>
    <xf numFmtId="49" fontId="45" fillId="6" borderId="7" xfId="4" applyNumberFormat="1" applyFont="1" applyFill="1" applyBorder="1" applyAlignment="1">
      <alignment horizontal="center" vertical="center"/>
    </xf>
    <xf numFmtId="49" fontId="45" fillId="6" borderId="7" xfId="4" applyNumberFormat="1" applyFont="1" applyFill="1" applyBorder="1" applyAlignment="1">
      <alignment horizontal="center" vertical="center" wrapText="1"/>
    </xf>
    <xf numFmtId="49" fontId="9" fillId="11" borderId="76" xfId="4" applyNumberFormat="1" applyFont="1" applyFill="1" applyBorder="1" applyAlignment="1">
      <alignment horizontal="center" vertical="center"/>
    </xf>
    <xf numFmtId="49" fontId="9" fillId="11" borderId="74" xfId="4" applyNumberFormat="1" applyFont="1" applyFill="1" applyBorder="1" applyAlignment="1">
      <alignment horizontal="center" vertical="center"/>
    </xf>
    <xf numFmtId="49" fontId="9" fillId="11" borderId="82" xfId="4" applyNumberFormat="1" applyFont="1" applyFill="1" applyBorder="1" applyAlignment="1">
      <alignment horizontal="center" vertical="center"/>
    </xf>
    <xf numFmtId="49" fontId="46" fillId="6" borderId="199" xfId="4" applyNumberFormat="1" applyFont="1" applyFill="1" applyBorder="1" applyAlignment="1">
      <alignment horizontal="center" vertical="center"/>
    </xf>
    <xf numFmtId="49" fontId="46" fillId="6" borderId="7" xfId="4" applyNumberFormat="1" applyFont="1" applyFill="1" applyBorder="1" applyAlignment="1">
      <alignment horizontal="center" vertical="center"/>
    </xf>
    <xf numFmtId="3" fontId="46" fillId="6" borderId="199" xfId="4" applyNumberFormat="1" applyFont="1" applyFill="1" applyBorder="1" applyAlignment="1">
      <alignment horizontal="center" vertical="center" wrapText="1"/>
    </xf>
    <xf numFmtId="3" fontId="46" fillId="6" borderId="14" xfId="4" applyNumberFormat="1" applyFont="1" applyFill="1" applyBorder="1" applyAlignment="1">
      <alignment horizontal="center" vertical="center" wrapText="1"/>
    </xf>
    <xf numFmtId="3" fontId="46" fillId="6" borderId="7" xfId="4" applyNumberFormat="1" applyFont="1" applyFill="1" applyBorder="1" applyAlignment="1">
      <alignment horizontal="center" vertical="center" wrapText="1"/>
    </xf>
    <xf numFmtId="4" fontId="46" fillId="6" borderId="199" xfId="4" applyNumberFormat="1" applyFont="1" applyFill="1" applyBorder="1" applyAlignment="1">
      <alignment horizontal="center" vertical="center" wrapText="1"/>
    </xf>
    <xf numFmtId="4" fontId="46" fillId="6" borderId="14" xfId="4" applyNumberFormat="1" applyFont="1" applyFill="1" applyBorder="1" applyAlignment="1">
      <alignment horizontal="center" vertical="center" wrapText="1"/>
    </xf>
    <xf numFmtId="4" fontId="46" fillId="6" borderId="7" xfId="4" applyNumberFormat="1" applyFont="1" applyFill="1" applyBorder="1" applyAlignment="1">
      <alignment horizontal="center" vertical="center" wrapText="1"/>
    </xf>
    <xf numFmtId="49" fontId="48" fillId="0" borderId="14" xfId="4" applyNumberFormat="1" applyFont="1" applyBorder="1" applyAlignment="1">
      <alignment horizontal="center" vertical="center"/>
    </xf>
    <xf numFmtId="49" fontId="47" fillId="0" borderId="14" xfId="4" applyNumberFormat="1" applyFont="1" applyBorder="1" applyAlignment="1">
      <alignment horizontal="center" vertical="center"/>
    </xf>
    <xf numFmtId="49" fontId="46" fillId="6" borderId="3" xfId="4" applyNumberFormat="1" applyFont="1" applyFill="1" applyBorder="1" applyAlignment="1">
      <alignment horizontal="center" vertical="center"/>
    </xf>
    <xf numFmtId="0" fontId="46" fillId="6" borderId="3" xfId="4" applyFont="1" applyFill="1" applyBorder="1" applyAlignment="1">
      <alignment horizontal="center" vertical="center" wrapText="1"/>
    </xf>
    <xf numFmtId="49" fontId="47" fillId="0" borderId="199" xfId="4" applyNumberFormat="1" applyFont="1" applyBorder="1" applyAlignment="1">
      <alignment horizontal="center" vertical="center"/>
    </xf>
    <xf numFmtId="49" fontId="47" fillId="0" borderId="7" xfId="4" applyNumberFormat="1" applyFont="1" applyBorder="1" applyAlignment="1">
      <alignment horizontal="center" vertical="center"/>
    </xf>
    <xf numFmtId="49" fontId="72" fillId="6" borderId="199" xfId="4" applyNumberFormat="1" applyFont="1" applyFill="1" applyBorder="1" applyAlignment="1">
      <alignment horizontal="center" vertical="center"/>
    </xf>
    <xf numFmtId="49" fontId="72" fillId="6" borderId="14" xfId="4" applyNumberFormat="1" applyFont="1" applyFill="1" applyBorder="1" applyAlignment="1">
      <alignment horizontal="center" vertical="center"/>
    </xf>
    <xf numFmtId="49" fontId="72" fillId="6" borderId="7" xfId="4" applyNumberFormat="1" applyFont="1" applyFill="1" applyBorder="1" applyAlignment="1">
      <alignment horizontal="center" vertical="center"/>
    </xf>
    <xf numFmtId="0" fontId="72" fillId="6" borderId="199" xfId="4" applyFont="1" applyFill="1" applyBorder="1" applyAlignment="1">
      <alignment horizontal="center" vertical="center" wrapText="1"/>
    </xf>
    <xf numFmtId="0" fontId="72" fillId="6" borderId="14" xfId="4" applyFont="1" applyFill="1" applyBorder="1" applyAlignment="1">
      <alignment horizontal="center" vertical="center" wrapText="1"/>
    </xf>
    <xf numFmtId="0" fontId="72" fillId="6" borderId="7" xfId="4" applyFont="1" applyFill="1" applyBorder="1" applyAlignment="1">
      <alignment horizontal="center" vertical="center" wrapText="1"/>
    </xf>
    <xf numFmtId="3" fontId="46" fillId="6" borderId="199" xfId="4" applyNumberFormat="1" applyFont="1" applyFill="1" applyBorder="1" applyAlignment="1">
      <alignment horizontal="right" vertical="center" wrapText="1"/>
    </xf>
    <xf numFmtId="3" fontId="46" fillId="6" borderId="14" xfId="4" applyNumberFormat="1" applyFont="1" applyFill="1" applyBorder="1" applyAlignment="1">
      <alignment horizontal="right" vertical="center" wrapText="1"/>
    </xf>
    <xf numFmtId="3" fontId="46" fillId="6" borderId="7" xfId="4" applyNumberFormat="1" applyFont="1" applyFill="1" applyBorder="1" applyAlignment="1">
      <alignment horizontal="right" vertical="center" wrapText="1"/>
    </xf>
    <xf numFmtId="4" fontId="46" fillId="6" borderId="199" xfId="4" applyNumberFormat="1" applyFont="1" applyFill="1" applyBorder="1" applyAlignment="1">
      <alignment horizontal="right" vertical="center" wrapText="1"/>
    </xf>
    <xf numFmtId="4" fontId="46" fillId="6" borderId="14" xfId="4" applyNumberFormat="1" applyFont="1" applyFill="1" applyBorder="1" applyAlignment="1">
      <alignment horizontal="right" vertical="center" wrapText="1"/>
    </xf>
    <xf numFmtId="4" fontId="46" fillId="6" borderId="7" xfId="4" applyNumberFormat="1" applyFont="1" applyFill="1" applyBorder="1" applyAlignment="1">
      <alignment horizontal="right" vertical="center" wrapText="1"/>
    </xf>
    <xf numFmtId="0" fontId="46" fillId="6" borderId="199" xfId="4" applyFont="1" applyFill="1" applyBorder="1" applyAlignment="1">
      <alignment horizontal="left" vertical="center" wrapText="1"/>
    </xf>
    <xf numFmtId="0" fontId="46" fillId="6" borderId="14" xfId="4" applyFont="1" applyFill="1" applyBorder="1" applyAlignment="1">
      <alignment horizontal="left" vertical="center" wrapText="1"/>
    </xf>
    <xf numFmtId="0" fontId="46" fillId="6" borderId="7" xfId="4" applyFont="1" applyFill="1" applyBorder="1" applyAlignment="1">
      <alignment horizontal="left" vertical="center" wrapText="1"/>
    </xf>
    <xf numFmtId="0" fontId="46" fillId="0" borderId="199" xfId="10" applyFont="1" applyBorder="1" applyAlignment="1">
      <alignment horizontal="left" vertical="center" wrapText="1"/>
    </xf>
    <xf numFmtId="0" fontId="46" fillId="0" borderId="14" xfId="10" applyFont="1" applyBorder="1" applyAlignment="1">
      <alignment horizontal="left" vertical="center" wrapText="1"/>
    </xf>
    <xf numFmtId="0" fontId="46" fillId="0" borderId="7" xfId="10" applyFont="1" applyBorder="1" applyAlignment="1">
      <alignment horizontal="left" vertical="center" wrapText="1"/>
    </xf>
    <xf numFmtId="0" fontId="94" fillId="0" borderId="0" xfId="4" applyFont="1" applyAlignment="1">
      <alignment horizontal="center"/>
    </xf>
    <xf numFmtId="0" fontId="9" fillId="11" borderId="1220" xfId="4" applyFont="1" applyFill="1" applyBorder="1" applyAlignment="1">
      <alignment horizontal="center" vertical="center"/>
    </xf>
    <xf numFmtId="0" fontId="9" fillId="11" borderId="4" xfId="4" applyFont="1" applyFill="1" applyBorder="1" applyAlignment="1">
      <alignment horizontal="center" vertical="center"/>
    </xf>
    <xf numFmtId="0" fontId="9" fillId="11" borderId="25" xfId="4" applyFont="1" applyFill="1" applyBorder="1" applyAlignment="1">
      <alignment horizontal="center" vertical="center"/>
    </xf>
    <xf numFmtId="0" fontId="9" fillId="11" borderId="199" xfId="4" applyFont="1" applyFill="1" applyBorder="1" applyAlignment="1">
      <alignment horizontal="center" vertical="center" wrapText="1"/>
    </xf>
    <xf numFmtId="0" fontId="9" fillId="11" borderId="1220" xfId="4" applyFont="1" applyFill="1" applyBorder="1" applyAlignment="1">
      <alignment horizontal="center" vertical="center" wrapText="1"/>
    </xf>
    <xf numFmtId="0" fontId="9" fillId="11" borderId="1235" xfId="4" applyFont="1" applyFill="1" applyBorder="1" applyAlignment="1">
      <alignment horizontal="center" vertical="center" wrapText="1"/>
    </xf>
    <xf numFmtId="0" fontId="9" fillId="11" borderId="1234" xfId="4" applyFont="1" applyFill="1" applyBorder="1" applyAlignment="1">
      <alignment horizontal="center" vertical="center"/>
    </xf>
    <xf numFmtId="0" fontId="9" fillId="11" borderId="1235" xfId="4" applyFont="1" applyFill="1" applyBorder="1" applyAlignment="1">
      <alignment horizontal="center" vertical="center"/>
    </xf>
    <xf numFmtId="0" fontId="44" fillId="0" borderId="199" xfId="10" applyFont="1" applyBorder="1" applyAlignment="1">
      <alignment horizontal="left" vertical="center" wrapText="1"/>
    </xf>
    <xf numFmtId="0" fontId="44" fillId="0" borderId="14" xfId="10" applyFont="1" applyBorder="1" applyAlignment="1">
      <alignment horizontal="left" vertical="center" wrapText="1"/>
    </xf>
    <xf numFmtId="49" fontId="51" fillId="0" borderId="199" xfId="4" applyNumberFormat="1" applyFont="1" applyBorder="1" applyAlignment="1">
      <alignment horizontal="center" vertical="center" wrapText="1"/>
    </xf>
    <xf numFmtId="49" fontId="51" fillId="0" borderId="14" xfId="4" applyNumberFormat="1" applyFont="1" applyBorder="1" applyAlignment="1">
      <alignment horizontal="center" vertical="center" wrapText="1"/>
    </xf>
    <xf numFmtId="49" fontId="51" fillId="0" borderId="199" xfId="4" applyNumberFormat="1" applyFont="1" applyBorder="1" applyAlignment="1">
      <alignment horizontal="center" vertical="center"/>
    </xf>
    <xf numFmtId="49" fontId="51" fillId="0" borderId="14" xfId="4" applyNumberFormat="1" applyFont="1" applyBorder="1" applyAlignment="1">
      <alignment horizontal="center" vertical="center"/>
    </xf>
    <xf numFmtId="4" fontId="44" fillId="6" borderId="199" xfId="4" applyNumberFormat="1" applyFont="1" applyFill="1" applyBorder="1" applyAlignment="1">
      <alignment horizontal="center" vertical="center" wrapText="1"/>
    </xf>
    <xf numFmtId="4" fontId="44" fillId="6" borderId="14" xfId="4" applyNumberFormat="1" applyFont="1" applyFill="1" applyBorder="1" applyAlignment="1">
      <alignment horizontal="center" vertical="center" wrapText="1"/>
    </xf>
    <xf numFmtId="3" fontId="44" fillId="6" borderId="199" xfId="4" applyNumberFormat="1" applyFont="1" applyFill="1" applyBorder="1" applyAlignment="1">
      <alignment horizontal="center" vertical="center" wrapText="1"/>
    </xf>
    <xf numFmtId="3" fontId="44" fillId="6" borderId="14" xfId="4" applyNumberFormat="1" applyFont="1" applyFill="1" applyBorder="1" applyAlignment="1">
      <alignment horizontal="center" vertical="center" wrapText="1"/>
    </xf>
    <xf numFmtId="3" fontId="73" fillId="6" borderId="199" xfId="4" applyNumberFormat="1" applyFont="1" applyFill="1" applyBorder="1" applyAlignment="1">
      <alignment horizontal="center" vertical="center"/>
    </xf>
    <xf numFmtId="3" fontId="73" fillId="6" borderId="14" xfId="4" applyNumberFormat="1" applyFont="1" applyFill="1" applyBorder="1" applyAlignment="1">
      <alignment horizontal="center" vertical="center"/>
    </xf>
    <xf numFmtId="3" fontId="73" fillId="6" borderId="7" xfId="4" applyNumberFormat="1" applyFont="1" applyFill="1" applyBorder="1" applyAlignment="1">
      <alignment horizontal="center" vertical="center"/>
    </xf>
    <xf numFmtId="4" fontId="46" fillId="6" borderId="199" xfId="4" applyNumberFormat="1" applyFont="1" applyFill="1" applyBorder="1" applyAlignment="1">
      <alignment horizontal="center" vertical="center"/>
    </xf>
    <xf numFmtId="4" fontId="46" fillId="6" borderId="14" xfId="4" applyNumberFormat="1" applyFont="1" applyFill="1" applyBorder="1" applyAlignment="1">
      <alignment horizontal="center" vertical="center"/>
    </xf>
    <xf numFmtId="4" fontId="46" fillId="6" borderId="7" xfId="4" applyNumberFormat="1" applyFont="1" applyFill="1" applyBorder="1" applyAlignment="1">
      <alignment horizontal="center" vertical="center"/>
    </xf>
    <xf numFmtId="0" fontId="9" fillId="11" borderId="1234" xfId="4" applyFont="1" applyFill="1" applyBorder="1" applyAlignment="1">
      <alignment horizontal="center" vertical="center" wrapText="1"/>
    </xf>
    <xf numFmtId="49" fontId="48" fillId="0" borderId="199" xfId="4" applyNumberFormat="1" applyFont="1" applyBorder="1" applyAlignment="1">
      <alignment horizontal="center" vertical="center"/>
    </xf>
    <xf numFmtId="49" fontId="48" fillId="0" borderId="7" xfId="4" applyNumberFormat="1" applyFont="1" applyBorder="1" applyAlignment="1">
      <alignment horizontal="center" vertical="center"/>
    </xf>
    <xf numFmtId="49" fontId="45" fillId="6" borderId="199" xfId="4" applyNumberFormat="1" applyFont="1" applyFill="1" applyBorder="1" applyAlignment="1">
      <alignment horizontal="center" vertical="center"/>
    </xf>
    <xf numFmtId="49" fontId="45" fillId="6" borderId="199" xfId="4" applyNumberFormat="1" applyFont="1" applyFill="1" applyBorder="1" applyAlignment="1">
      <alignment horizontal="center" vertical="center" wrapText="1"/>
    </xf>
    <xf numFmtId="0" fontId="9" fillId="11" borderId="1281" xfId="4" applyFont="1" applyFill="1" applyBorder="1" applyAlignment="1">
      <alignment horizontal="center" vertical="center" wrapText="1"/>
    </xf>
    <xf numFmtId="49" fontId="44" fillId="6" borderId="199" xfId="4" applyNumberFormat="1" applyFont="1" applyFill="1" applyBorder="1" applyAlignment="1">
      <alignment horizontal="center" vertical="center"/>
    </xf>
    <xf numFmtId="0" fontId="56" fillId="6" borderId="199" xfId="4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71" fillId="0" borderId="199" xfId="4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5" fillId="0" borderId="199" xfId="4" applyNumberFormat="1" applyFont="1" applyBorder="1" applyAlignment="1">
      <alignment horizontal="center" vertical="center"/>
    </xf>
    <xf numFmtId="49" fontId="45" fillId="0" borderId="7" xfId="4" applyNumberFormat="1" applyFont="1" applyBorder="1" applyAlignment="1">
      <alignment horizontal="center" vertical="center"/>
    </xf>
    <xf numFmtId="49" fontId="48" fillId="0" borderId="3" xfId="4" applyNumberFormat="1" applyFont="1" applyBorder="1" applyAlignment="1">
      <alignment horizontal="center" vertical="center"/>
    </xf>
    <xf numFmtId="49" fontId="9" fillId="11" borderId="75" xfId="4" applyNumberFormat="1" applyFont="1" applyFill="1" applyBorder="1" applyAlignment="1">
      <alignment horizontal="center" vertical="center"/>
    </xf>
    <xf numFmtId="49" fontId="9" fillId="11" borderId="7" xfId="4" applyNumberFormat="1" applyFont="1" applyFill="1" applyBorder="1" applyAlignment="1">
      <alignment horizontal="center" vertical="center"/>
    </xf>
    <xf numFmtId="0" fontId="71" fillId="0" borderId="199" xfId="4" applyFont="1" applyBorder="1" applyAlignment="1">
      <alignment horizontal="center" vertical="center" wrapText="1"/>
    </xf>
    <xf numFmtId="0" fontId="71" fillId="0" borderId="7" xfId="4" applyFont="1" applyBorder="1" applyAlignment="1">
      <alignment horizontal="center" vertical="center" wrapText="1"/>
    </xf>
    <xf numFmtId="49" fontId="51" fillId="0" borderId="7" xfId="4" applyNumberFormat="1" applyFont="1" applyBorder="1" applyAlignment="1">
      <alignment horizontal="center" vertical="center"/>
    </xf>
    <xf numFmtId="49" fontId="51" fillId="0" borderId="7" xfId="4" applyNumberFormat="1" applyFont="1" applyBorder="1" applyAlignment="1">
      <alignment horizontal="center" vertical="center" wrapText="1"/>
    </xf>
    <xf numFmtId="49" fontId="9" fillId="0" borderId="199" xfId="4" applyNumberFormat="1" applyFont="1" applyBorder="1" applyAlignment="1">
      <alignment horizontal="center" vertical="center"/>
    </xf>
    <xf numFmtId="49" fontId="9" fillId="0" borderId="14" xfId="4" applyNumberFormat="1" applyFont="1" applyBorder="1" applyAlignment="1">
      <alignment horizontal="center" vertical="center"/>
    </xf>
    <xf numFmtId="49" fontId="47" fillId="0" borderId="14" xfId="4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46" fillId="0" borderId="198" xfId="4" applyFont="1" applyBorder="1" applyAlignment="1">
      <alignment horizontal="left" vertical="top" wrapText="1"/>
    </xf>
    <xf numFmtId="0" fontId="46" fillId="0" borderId="10" xfId="4" applyFont="1" applyBorder="1" applyAlignment="1">
      <alignment horizontal="left" vertical="top" wrapText="1"/>
    </xf>
    <xf numFmtId="0" fontId="67" fillId="0" borderId="199" xfId="4" applyFont="1" applyBorder="1" applyAlignment="1">
      <alignment horizontal="center" vertical="center"/>
    </xf>
    <xf numFmtId="0" fontId="67" fillId="0" borderId="7" xfId="4" applyFont="1" applyBorder="1" applyAlignment="1">
      <alignment horizontal="center" vertical="center"/>
    </xf>
    <xf numFmtId="0" fontId="51" fillId="0" borderId="199" xfId="4" applyFont="1" applyBorder="1" applyAlignment="1">
      <alignment horizontal="center" vertical="center" wrapText="1"/>
    </xf>
    <xf numFmtId="0" fontId="51" fillId="0" borderId="7" xfId="4" applyFont="1" applyBorder="1" applyAlignment="1">
      <alignment horizontal="center" vertical="center" wrapText="1"/>
    </xf>
    <xf numFmtId="1" fontId="46" fillId="0" borderId="199" xfId="4" applyNumberFormat="1" applyFont="1" applyBorder="1" applyAlignment="1">
      <alignment horizontal="center" vertical="center"/>
    </xf>
    <xf numFmtId="1" fontId="46" fillId="0" borderId="7" xfId="4" applyNumberFormat="1" applyFont="1" applyBorder="1" applyAlignment="1">
      <alignment horizontal="center" vertical="center"/>
    </xf>
    <xf numFmtId="3" fontId="46" fillId="0" borderId="4" xfId="4" applyNumberFormat="1" applyFont="1" applyBorder="1" applyAlignment="1">
      <alignment horizontal="right" vertical="center" wrapText="1"/>
    </xf>
    <xf numFmtId="3" fontId="46" fillId="0" borderId="8" xfId="4" applyNumberFormat="1" applyFont="1" applyBorder="1" applyAlignment="1">
      <alignment horizontal="right" vertical="center" wrapText="1"/>
    </xf>
    <xf numFmtId="4" fontId="46" fillId="0" borderId="199" xfId="4" applyNumberFormat="1" applyFont="1" applyBorder="1" applyAlignment="1">
      <alignment horizontal="right" vertical="center" wrapText="1"/>
    </xf>
    <xf numFmtId="4" fontId="46" fillId="0" borderId="7" xfId="4" applyNumberFormat="1" applyFont="1" applyBorder="1" applyAlignment="1">
      <alignment horizontal="right" vertical="center" wrapText="1"/>
    </xf>
    <xf numFmtId="4" fontId="46" fillId="0" borderId="4" xfId="4" applyNumberFormat="1" applyFont="1" applyBorder="1" applyAlignment="1">
      <alignment horizontal="right" vertical="center" wrapText="1"/>
    </xf>
    <xf numFmtId="4" fontId="46" fillId="0" borderId="8" xfId="4" applyNumberFormat="1" applyFont="1" applyBorder="1" applyAlignment="1">
      <alignment horizontal="right" vertical="center" wrapText="1"/>
    </xf>
    <xf numFmtId="49" fontId="45" fillId="6" borderId="109" xfId="4" applyNumberFormat="1" applyFont="1" applyFill="1" applyBorder="1" applyAlignment="1">
      <alignment horizontal="center" vertical="center"/>
    </xf>
    <xf numFmtId="49" fontId="45" fillId="6" borderId="1240" xfId="4" applyNumberFormat="1" applyFont="1" applyFill="1" applyBorder="1" applyAlignment="1">
      <alignment horizontal="center" vertical="center"/>
    </xf>
    <xf numFmtId="49" fontId="45" fillId="6" borderId="1305" xfId="4" applyNumberFormat="1" applyFont="1" applyFill="1" applyBorder="1" applyAlignment="1">
      <alignment horizontal="center" vertical="center"/>
    </xf>
    <xf numFmtId="49" fontId="45" fillId="6" borderId="168" xfId="4" applyNumberFormat="1" applyFont="1" applyFill="1" applyBorder="1" applyAlignment="1">
      <alignment horizontal="center" vertical="center" wrapText="1"/>
    </xf>
    <xf numFmtId="49" fontId="45" fillId="6" borderId="1272" xfId="4" applyNumberFormat="1" applyFont="1" applyFill="1" applyBorder="1" applyAlignment="1">
      <alignment horizontal="center" vertical="center" wrapText="1"/>
    </xf>
    <xf numFmtId="49" fontId="44" fillId="0" borderId="14" xfId="4" applyNumberFormat="1" applyFont="1" applyBorder="1" applyAlignment="1">
      <alignment horizontal="center" vertical="center"/>
    </xf>
    <xf numFmtId="49" fontId="44" fillId="0" borderId="7" xfId="4" applyNumberFormat="1" applyFont="1" applyBorder="1" applyAlignment="1">
      <alignment horizontal="center" vertical="center"/>
    </xf>
    <xf numFmtId="49" fontId="44" fillId="0" borderId="14" xfId="4" applyNumberFormat="1" applyFont="1" applyBorder="1" applyAlignment="1">
      <alignment horizontal="center" vertical="center" wrapText="1"/>
    </xf>
    <xf numFmtId="49" fontId="44" fillId="0" borderId="7" xfId="4" applyNumberFormat="1" applyFont="1" applyBorder="1" applyAlignment="1">
      <alignment horizontal="center" vertical="center" wrapText="1"/>
    </xf>
    <xf numFmtId="4" fontId="44" fillId="6" borderId="199" xfId="4" applyNumberFormat="1" applyFont="1" applyFill="1" applyBorder="1" applyAlignment="1">
      <alignment horizontal="center" vertical="center"/>
    </xf>
    <xf numFmtId="4" fontId="44" fillId="6" borderId="7" xfId="4" applyNumberFormat="1" applyFont="1" applyFill="1" applyBorder="1" applyAlignment="1">
      <alignment horizontal="center" vertical="center"/>
    </xf>
    <xf numFmtId="0" fontId="44" fillId="6" borderId="199" xfId="4" applyFont="1" applyFill="1" applyBorder="1" applyAlignment="1">
      <alignment horizontal="left" vertical="center" wrapText="1"/>
    </xf>
    <xf numFmtId="0" fontId="44" fillId="6" borderId="7" xfId="4" applyFont="1" applyFill="1" applyBorder="1" applyAlignment="1">
      <alignment horizontal="left" vertical="center" wrapText="1"/>
    </xf>
    <xf numFmtId="0" fontId="103" fillId="0" borderId="0" xfId="4" applyFont="1" applyAlignment="1">
      <alignment horizontal="center" vertical="center" wrapText="1"/>
    </xf>
    <xf numFmtId="0" fontId="51" fillId="0" borderId="1" xfId="4" applyFont="1" applyBorder="1" applyAlignment="1">
      <alignment horizontal="center" vertical="center" wrapText="1"/>
    </xf>
    <xf numFmtId="0" fontId="9" fillId="11" borderId="199" xfId="4" applyFont="1" applyFill="1" applyBorder="1" applyAlignment="1">
      <alignment horizontal="center" vertical="center"/>
    </xf>
    <xf numFmtId="0" fontId="9" fillId="11" borderId="198" xfId="4" applyFont="1" applyFill="1" applyBorder="1" applyAlignment="1">
      <alignment horizontal="center" vertical="center"/>
    </xf>
    <xf numFmtId="0" fontId="9" fillId="11" borderId="161" xfId="4" applyFont="1" applyFill="1" applyBorder="1" applyAlignment="1">
      <alignment horizontal="center" vertical="center" wrapText="1"/>
    </xf>
    <xf numFmtId="0" fontId="51" fillId="11" borderId="1220" xfId="4" applyFont="1" applyFill="1" applyBorder="1" applyAlignment="1">
      <alignment horizontal="center" vertical="center" wrapText="1"/>
    </xf>
    <xf numFmtId="0" fontId="51" fillId="11" borderId="1234" xfId="4" applyFont="1" applyFill="1" applyBorder="1" applyAlignment="1">
      <alignment horizontal="center" vertical="center" wrapText="1"/>
    </xf>
    <xf numFmtId="49" fontId="9" fillId="0" borderId="7" xfId="4" applyNumberFormat="1" applyFont="1" applyBorder="1" applyAlignment="1">
      <alignment horizontal="center" vertical="center"/>
    </xf>
    <xf numFmtId="1" fontId="44" fillId="0" borderId="199" xfId="4" applyNumberFormat="1" applyFont="1" applyBorder="1" applyAlignment="1">
      <alignment horizontal="center" vertical="center"/>
    </xf>
    <xf numFmtId="1" fontId="44" fillId="0" borderId="14" xfId="4" applyNumberFormat="1" applyFont="1" applyBorder="1" applyAlignment="1">
      <alignment horizontal="center" vertical="center"/>
    </xf>
    <xf numFmtId="1" fontId="44" fillId="0" borderId="7" xfId="4" applyNumberFormat="1" applyFont="1" applyBorder="1" applyAlignment="1">
      <alignment horizontal="center" vertical="center"/>
    </xf>
    <xf numFmtId="1" fontId="44" fillId="6" borderId="199" xfId="4" applyNumberFormat="1" applyFont="1" applyFill="1" applyBorder="1" applyAlignment="1">
      <alignment horizontal="center" vertical="center"/>
    </xf>
    <xf numFmtId="1" fontId="44" fillId="6" borderId="14" xfId="4" applyNumberFormat="1" applyFont="1" applyFill="1" applyBorder="1" applyAlignment="1">
      <alignment horizontal="center" vertical="center"/>
    </xf>
    <xf numFmtId="0" fontId="44" fillId="0" borderId="199" xfId="5" applyFont="1" applyBorder="1" applyAlignment="1">
      <alignment horizontal="left" vertical="center" wrapText="1"/>
    </xf>
    <xf numFmtId="0" fontId="44" fillId="0" borderId="14" xfId="5" applyFont="1" applyBorder="1" applyAlignment="1">
      <alignment horizontal="left" vertical="center" wrapText="1"/>
    </xf>
    <xf numFmtId="0" fontId="44" fillId="0" borderId="7" xfId="5" applyFont="1" applyBorder="1" applyAlignment="1">
      <alignment horizontal="left" vertical="center" wrapText="1"/>
    </xf>
    <xf numFmtId="4" fontId="44" fillId="6" borderId="1271" xfId="4" applyNumberFormat="1" applyFont="1" applyFill="1" applyBorder="1" applyAlignment="1">
      <alignment horizontal="center" vertical="center"/>
    </xf>
    <xf numFmtId="4" fontId="7" fillId="0" borderId="1271" xfId="4" applyNumberFormat="1" applyFont="1" applyBorder="1" applyAlignment="1">
      <alignment horizontal="center" vertical="center"/>
    </xf>
    <xf numFmtId="4" fontId="7" fillId="0" borderId="7" xfId="4" applyNumberFormat="1" applyFont="1" applyBorder="1" applyAlignment="1">
      <alignment horizontal="center" vertical="center"/>
    </xf>
    <xf numFmtId="3" fontId="94" fillId="6" borderId="1271" xfId="4" applyNumberFormat="1" applyFont="1" applyFill="1" applyBorder="1" applyAlignment="1">
      <alignment horizontal="center" vertical="center"/>
    </xf>
    <xf numFmtId="3" fontId="94" fillId="6" borderId="7" xfId="4" applyNumberFormat="1" applyFont="1" applyFill="1" applyBorder="1" applyAlignment="1">
      <alignment horizontal="center" vertical="center"/>
    </xf>
    <xf numFmtId="1" fontId="44" fillId="6" borderId="7" xfId="4" applyNumberFormat="1" applyFont="1" applyFill="1" applyBorder="1" applyAlignment="1">
      <alignment horizontal="center" vertical="center"/>
    </xf>
    <xf numFmtId="1" fontId="44" fillId="6" borderId="109" xfId="4" applyNumberFormat="1" applyFont="1" applyFill="1" applyBorder="1" applyAlignment="1">
      <alignment horizontal="center" vertical="center"/>
    </xf>
    <xf numFmtId="3" fontId="94" fillId="6" borderId="199" xfId="4" applyNumberFormat="1" applyFont="1" applyFill="1" applyBorder="1" applyAlignment="1">
      <alignment horizontal="center" vertical="center"/>
    </xf>
    <xf numFmtId="0" fontId="99" fillId="0" borderId="0" xfId="14" applyFont="1" applyAlignment="1">
      <alignment horizontal="center" vertical="center"/>
    </xf>
    <xf numFmtId="0" fontId="88" fillId="0" borderId="0" xfId="14" applyFont="1" applyAlignment="1">
      <alignment horizontal="left" vertical="center"/>
    </xf>
    <xf numFmtId="0" fontId="44" fillId="22" borderId="160" xfId="17" applyFont="1" applyFill="1" applyBorder="1" applyAlignment="1">
      <alignment horizontal="left" vertical="center" wrapText="1"/>
    </xf>
    <xf numFmtId="0" fontId="44" fillId="22" borderId="147" xfId="17" applyFont="1" applyFill="1" applyBorder="1" applyAlignment="1">
      <alignment horizontal="center" vertical="center" wrapText="1"/>
    </xf>
    <xf numFmtId="0" fontId="44" fillId="22" borderId="109" xfId="17" applyFont="1" applyFill="1" applyBorder="1" applyAlignment="1">
      <alignment horizontal="center" vertical="center" wrapText="1"/>
    </xf>
    <xf numFmtId="0" fontId="44" fillId="22" borderId="147" xfId="17" applyFont="1" applyFill="1" applyBorder="1" applyAlignment="1">
      <alignment horizontal="left" vertical="center" wrapText="1"/>
    </xf>
    <xf numFmtId="0" fontId="44" fillId="22" borderId="14" xfId="17" applyFont="1" applyFill="1" applyBorder="1" applyAlignment="1">
      <alignment horizontal="left" vertical="center" wrapText="1"/>
    </xf>
    <xf numFmtId="0" fontId="44" fillId="22" borderId="109" xfId="17" applyFont="1" applyFill="1" applyBorder="1" applyAlignment="1">
      <alignment horizontal="left" vertical="center" wrapText="1"/>
    </xf>
    <xf numFmtId="0" fontId="9" fillId="3" borderId="86" xfId="12" applyFont="1" applyFill="1" applyBorder="1" applyAlignment="1">
      <alignment horizontal="center" vertical="center"/>
    </xf>
    <xf numFmtId="0" fontId="9" fillId="3" borderId="150" xfId="12" applyFont="1" applyFill="1" applyBorder="1" applyAlignment="1">
      <alignment horizontal="center" vertical="center"/>
    </xf>
    <xf numFmtId="0" fontId="101" fillId="0" borderId="0" xfId="12" applyFont="1" applyAlignment="1">
      <alignment horizontal="center" vertical="center" wrapText="1"/>
    </xf>
    <xf numFmtId="0" fontId="47" fillId="3" borderId="86" xfId="13" applyFont="1" applyFill="1" applyBorder="1" applyAlignment="1">
      <alignment horizontal="center" vertical="center"/>
    </xf>
    <xf numFmtId="0" fontId="9" fillId="3" borderId="84" xfId="12" applyFont="1" applyFill="1" applyBorder="1" applyAlignment="1">
      <alignment horizontal="center" vertical="center"/>
    </xf>
  </cellXfs>
  <cellStyles count="18">
    <cellStyle name="Normalny" xfId="0" builtinId="0"/>
    <cellStyle name="Normalny 2" xfId="4" xr:uid="{00000000-0005-0000-0000-000001000000}"/>
    <cellStyle name="Normalny 2 3" xfId="16" xr:uid="{AA50C385-D080-4E43-9D79-4E0B54A894EB}"/>
    <cellStyle name="Normalny 2 3 2" xfId="15" xr:uid="{00000000-0005-0000-0000-000002000000}"/>
    <cellStyle name="Normalny 2 4" xfId="7" xr:uid="{00000000-0005-0000-0000-000003000000}"/>
    <cellStyle name="Normalny 3 2 2" xfId="12" xr:uid="{00000000-0005-0000-0000-000004000000}"/>
    <cellStyle name="Normalny 3 2 3" xfId="13" xr:uid="{00000000-0005-0000-0000-000005000000}"/>
    <cellStyle name="Normalny 3 2 4" xfId="5" xr:uid="{00000000-0005-0000-0000-000006000000}"/>
    <cellStyle name="Normalny 4" xfId="11" xr:uid="{00000000-0005-0000-0000-000007000000}"/>
    <cellStyle name="Normalny 6" xfId="6" xr:uid="{00000000-0005-0000-0000-000008000000}"/>
    <cellStyle name="Normalny 7" xfId="2" xr:uid="{00000000-0005-0000-0000-000009000000}"/>
    <cellStyle name="Normalny 7 2" xfId="14" xr:uid="{00000000-0005-0000-0000-00000A000000}"/>
    <cellStyle name="Normalny 8" xfId="10" xr:uid="{00000000-0005-0000-0000-00000B000000}"/>
    <cellStyle name="Normalny_Arkusz1" xfId="17" xr:uid="{C79BA8E5-4A00-445A-B21C-FC97C5C65E51}"/>
    <cellStyle name="Procentowy" xfId="1" builtinId="5"/>
    <cellStyle name="Procentowy 3" xfId="3" xr:uid="{00000000-0005-0000-0000-00000E000000}"/>
    <cellStyle name="Procentowy 3 2" xfId="9" xr:uid="{00000000-0005-0000-0000-00000F000000}"/>
    <cellStyle name="Procentowy 3 3" xfId="8" xr:uid="{00000000-0005-0000-0000-000010000000}"/>
  </cellStyles>
  <dxfs count="0"/>
  <tableStyles count="0" defaultTableStyle="TableStyleMedium2" defaultPivotStyle="PivotStyleLight16"/>
  <colors>
    <mruColors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193"/>
  <sheetViews>
    <sheetView tabSelected="1" view="pageBreakPreview" zoomScaleNormal="100" zoomScaleSheetLayoutView="100" workbookViewId="0">
      <pane ySplit="5" topLeftCell="A6" activePane="bottomLeft" state="frozen"/>
      <selection pane="bottomLeft" sqref="A1:H1"/>
    </sheetView>
  </sheetViews>
  <sheetFormatPr defaultColWidth="9.140625" defaultRowHeight="15"/>
  <cols>
    <col min="1" max="1" width="8.7109375" style="41" customWidth="1"/>
    <col min="2" max="2" width="8.85546875" style="41" customWidth="1"/>
    <col min="3" max="3" width="55.42578125" style="42" customWidth="1"/>
    <col min="4" max="4" width="11.85546875" style="42" customWidth="1"/>
    <col min="5" max="5" width="19.28515625" style="191" customWidth="1"/>
    <col min="6" max="6" width="17.7109375" style="32" customWidth="1"/>
    <col min="7" max="7" width="17.85546875" style="32" bestFit="1" customWidth="1"/>
    <col min="8" max="8" width="13.7109375" style="32" customWidth="1"/>
    <col min="9" max="9" width="17.85546875" style="2" customWidth="1"/>
    <col min="10" max="10" width="12.42578125" style="2" bestFit="1" customWidth="1"/>
    <col min="11" max="11" width="13.5703125" style="2" bestFit="1" customWidth="1"/>
    <col min="12" max="16384" width="9.140625" style="2"/>
  </cols>
  <sheetData>
    <row r="1" spans="1:10" s="1" customFormat="1" ht="51.75" customHeight="1">
      <c r="A1" s="4748" t="s">
        <v>534</v>
      </c>
      <c r="B1" s="4748"/>
      <c r="C1" s="4748"/>
      <c r="D1" s="4748"/>
      <c r="E1" s="4748"/>
      <c r="F1" s="4748"/>
      <c r="G1" s="4748"/>
      <c r="H1" s="4748"/>
    </row>
    <row r="2" spans="1:10" s="1" customFormat="1" ht="15.75" customHeight="1" thickBot="1">
      <c r="A2" s="224"/>
      <c r="B2" s="224"/>
      <c r="C2" s="224"/>
      <c r="D2" s="224"/>
      <c r="F2" s="225"/>
      <c r="G2" s="225"/>
      <c r="H2" s="226" t="s">
        <v>0</v>
      </c>
    </row>
    <row r="3" spans="1:10" s="1" customFormat="1" ht="38.25" customHeight="1" thickBot="1">
      <c r="A3" s="4749" t="s">
        <v>1</v>
      </c>
      <c r="B3" s="4750" t="s">
        <v>2</v>
      </c>
      <c r="C3" s="4752" t="s">
        <v>3</v>
      </c>
      <c r="D3" s="4750" t="s">
        <v>4</v>
      </c>
      <c r="E3" s="4754" t="s">
        <v>5</v>
      </c>
      <c r="F3" s="4756" t="s">
        <v>6</v>
      </c>
      <c r="G3" s="4756" t="s">
        <v>7</v>
      </c>
      <c r="H3" s="4758" t="s">
        <v>8</v>
      </c>
    </row>
    <row r="4" spans="1:10" s="1" customFormat="1" ht="9.75" customHeight="1" thickBot="1">
      <c r="A4" s="4749"/>
      <c r="B4" s="4751"/>
      <c r="C4" s="4753"/>
      <c r="D4" s="4751"/>
      <c r="E4" s="4755"/>
      <c r="F4" s="4757"/>
      <c r="G4" s="4757"/>
      <c r="H4" s="4759"/>
    </row>
    <row r="5" spans="1:10" s="1" customFormat="1" ht="15.75" thickBot="1">
      <c r="A5" s="1360" t="s">
        <v>9</v>
      </c>
      <c r="B5" s="1361" t="s">
        <v>10</v>
      </c>
      <c r="C5" s="1362" t="s">
        <v>11</v>
      </c>
      <c r="D5" s="1360" t="s">
        <v>12</v>
      </c>
      <c r="E5" s="1363" t="s">
        <v>13</v>
      </c>
      <c r="F5" s="1364" t="s">
        <v>14</v>
      </c>
      <c r="G5" s="1365" t="s">
        <v>15</v>
      </c>
      <c r="H5" s="1364" t="s">
        <v>16</v>
      </c>
    </row>
    <row r="6" spans="1:10" ht="15.75" thickBot="1">
      <c r="A6" s="1366" t="s">
        <v>17</v>
      </c>
      <c r="B6" s="1367"/>
      <c r="C6" s="1368" t="s">
        <v>18</v>
      </c>
      <c r="D6" s="1369"/>
      <c r="E6" s="1370">
        <f>SUM(E7,E15,E20,E26,)</f>
        <v>45563200</v>
      </c>
      <c r="F6" s="1371">
        <f>SUM(F7,F15,F20,F26,)</f>
        <v>49885317</v>
      </c>
      <c r="G6" s="240">
        <f>SUM(G7,G15,G20,G26,)</f>
        <v>62803453.979999997</v>
      </c>
      <c r="H6" s="1372">
        <f>G6/F6</f>
        <v>1.2589566982204403</v>
      </c>
    </row>
    <row r="7" spans="1:10" ht="15.75" thickBot="1">
      <c r="A7" s="1373"/>
      <c r="B7" s="1374" t="s">
        <v>19</v>
      </c>
      <c r="C7" s="1375" t="s">
        <v>20</v>
      </c>
      <c r="D7" s="1376"/>
      <c r="E7" s="1377">
        <f t="shared" ref="E7:G7" si="0">SUM(E8,E13)</f>
        <v>21124200</v>
      </c>
      <c r="F7" s="1378">
        <f t="shared" si="0"/>
        <v>25515537</v>
      </c>
      <c r="G7" s="1379">
        <f t="shared" si="0"/>
        <v>32661876.190000001</v>
      </c>
      <c r="H7" s="1108">
        <f t="shared" ref="H7:H57" si="1">G7/F7</f>
        <v>1.2800779458413907</v>
      </c>
    </row>
    <row r="8" spans="1:10" ht="12.75" customHeight="1">
      <c r="A8" s="1354"/>
      <c r="B8" s="4537" t="s">
        <v>21</v>
      </c>
      <c r="C8" s="4537"/>
      <c r="D8" s="1380"/>
      <c r="E8" s="1381">
        <f>SUM(E9:E12)</f>
        <v>21124200</v>
      </c>
      <c r="F8" s="1382">
        <f>SUM(F9:F12)</f>
        <v>25515537</v>
      </c>
      <c r="G8" s="1383">
        <f>SUM(G9:G12)</f>
        <v>32620087.57</v>
      </c>
      <c r="H8" s="1384">
        <f t="shared" si="1"/>
        <v>1.2784401743141836</v>
      </c>
    </row>
    <row r="9" spans="1:10" ht="15" customHeight="1">
      <c r="A9" s="1354"/>
      <c r="B9" s="4773"/>
      <c r="C9" s="4776" t="s">
        <v>22</v>
      </c>
      <c r="D9" s="1385" t="s">
        <v>23</v>
      </c>
      <c r="E9" s="1386">
        <v>17600</v>
      </c>
      <c r="F9" s="1387">
        <v>17600</v>
      </c>
      <c r="G9" s="1388">
        <v>27632.94</v>
      </c>
      <c r="H9" s="1389">
        <f t="shared" si="1"/>
        <v>1.5700534090909091</v>
      </c>
    </row>
    <row r="10" spans="1:10" ht="16.5" customHeight="1">
      <c r="A10" s="1354"/>
      <c r="B10" s="4774"/>
      <c r="C10" s="4777"/>
      <c r="D10" s="1390" t="s">
        <v>24</v>
      </c>
      <c r="E10" s="1386">
        <v>21103400</v>
      </c>
      <c r="F10" s="1387">
        <v>25494737</v>
      </c>
      <c r="G10" s="1388">
        <v>32570955.66</v>
      </c>
      <c r="H10" s="1389">
        <f t="shared" si="1"/>
        <v>1.2775560563735173</v>
      </c>
    </row>
    <row r="11" spans="1:10" ht="16.5" customHeight="1">
      <c r="A11" s="1354"/>
      <c r="B11" s="4774"/>
      <c r="C11" s="4777"/>
      <c r="D11" s="231" t="s">
        <v>45</v>
      </c>
      <c r="E11" s="1386">
        <v>0</v>
      </c>
      <c r="F11" s="1387">
        <v>0</v>
      </c>
      <c r="G11" s="1388">
        <v>15449.7</v>
      </c>
      <c r="H11" s="1389"/>
    </row>
    <row r="12" spans="1:10">
      <c r="A12" s="1354"/>
      <c r="B12" s="4775"/>
      <c r="C12" s="4778"/>
      <c r="D12" s="1385" t="s">
        <v>25</v>
      </c>
      <c r="E12" s="1391">
        <v>3200</v>
      </c>
      <c r="F12" s="1387">
        <v>3200</v>
      </c>
      <c r="G12" s="1388">
        <v>6049.27</v>
      </c>
      <c r="H12" s="1389">
        <f t="shared" si="1"/>
        <v>1.8903968750000002</v>
      </c>
      <c r="J12" s="3"/>
    </row>
    <row r="13" spans="1:10">
      <c r="A13" s="1354"/>
      <c r="B13" s="4779" t="s">
        <v>67</v>
      </c>
      <c r="C13" s="4723"/>
      <c r="D13" s="1392"/>
      <c r="E13" s="1393">
        <f>SUM(E14)</f>
        <v>0</v>
      </c>
      <c r="F13" s="1393">
        <f t="shared" ref="F13:G13" si="2">SUM(F14)</f>
        <v>0</v>
      </c>
      <c r="G13" s="1394">
        <f t="shared" si="2"/>
        <v>41788.620000000003</v>
      </c>
      <c r="H13" s="1395"/>
      <c r="J13" s="3"/>
    </row>
    <row r="14" spans="1:10" ht="26.25" thickBot="1">
      <c r="A14" s="1354"/>
      <c r="B14" s="233"/>
      <c r="C14" s="234" t="s">
        <v>27</v>
      </c>
      <c r="D14" s="1396" t="s">
        <v>28</v>
      </c>
      <c r="E14" s="235">
        <v>0</v>
      </c>
      <c r="F14" s="1387">
        <v>0</v>
      </c>
      <c r="G14" s="1388">
        <v>41788.620000000003</v>
      </c>
      <c r="H14" s="1397"/>
    </row>
    <row r="15" spans="1:10" ht="15.75" thickBot="1">
      <c r="A15" s="1354"/>
      <c r="B15" s="1374" t="s">
        <v>29</v>
      </c>
      <c r="C15" s="1375" t="s">
        <v>30</v>
      </c>
      <c r="D15" s="1398"/>
      <c r="E15" s="1110">
        <f>SUM(E16,E19)</f>
        <v>8810000</v>
      </c>
      <c r="F15" s="1110">
        <f>SUM(F16,F19)</f>
        <v>8808738</v>
      </c>
      <c r="G15" s="1107">
        <f>SUM(G16,G19)</f>
        <v>8694413.4900000002</v>
      </c>
      <c r="H15" s="1108">
        <f t="shared" si="1"/>
        <v>0.98702146550391212</v>
      </c>
    </row>
    <row r="16" spans="1:10">
      <c r="A16" s="1354"/>
      <c r="B16" s="4536" t="s">
        <v>21</v>
      </c>
      <c r="C16" s="4722"/>
      <c r="D16" s="1399"/>
      <c r="E16" s="1400">
        <f>SUM(E17:E18)</f>
        <v>8810000</v>
      </c>
      <c r="F16" s="1400">
        <f>SUM(F17:F18)</f>
        <v>8808738</v>
      </c>
      <c r="G16" s="1401">
        <f>SUM(G17:G18)</f>
        <v>8694413.4900000002</v>
      </c>
      <c r="H16" s="1384">
        <f t="shared" si="1"/>
        <v>0.98702146550391212</v>
      </c>
    </row>
    <row r="17" spans="1:8" ht="38.25">
      <c r="A17" s="1354"/>
      <c r="B17" s="4780"/>
      <c r="C17" s="1402" t="s">
        <v>33</v>
      </c>
      <c r="D17" s="1403">
        <v>2058</v>
      </c>
      <c r="E17" s="1391">
        <v>5605000</v>
      </c>
      <c r="F17" s="1387">
        <v>5605000</v>
      </c>
      <c r="G17" s="1388">
        <v>5532254.0599999996</v>
      </c>
      <c r="H17" s="1389">
        <f t="shared" si="1"/>
        <v>0.98702124174843886</v>
      </c>
    </row>
    <row r="18" spans="1:8" ht="38.25">
      <c r="A18" s="1354"/>
      <c r="B18" s="4716"/>
      <c r="C18" s="1402" t="s">
        <v>34</v>
      </c>
      <c r="D18" s="1404">
        <v>2059</v>
      </c>
      <c r="E18" s="1391">
        <v>3205000</v>
      </c>
      <c r="F18" s="1387">
        <v>3203738</v>
      </c>
      <c r="G18" s="1388">
        <v>3162159.43</v>
      </c>
      <c r="H18" s="1389">
        <f t="shared" si="1"/>
        <v>0.98702185696832889</v>
      </c>
    </row>
    <row r="19" spans="1:8" ht="13.5" customHeight="1" thickBot="1">
      <c r="A19" s="1354"/>
      <c r="B19" s="4769" t="s">
        <v>26</v>
      </c>
      <c r="C19" s="4721"/>
      <c r="D19" s="1405"/>
      <c r="E19" s="1406">
        <v>0</v>
      </c>
      <c r="F19" s="1406">
        <v>0</v>
      </c>
      <c r="G19" s="1407">
        <v>0</v>
      </c>
      <c r="H19" s="1408"/>
    </row>
    <row r="20" spans="1:8" ht="15.75" thickBot="1">
      <c r="A20" s="1354"/>
      <c r="B20" s="1374" t="s">
        <v>35</v>
      </c>
      <c r="C20" s="1375" t="s">
        <v>36</v>
      </c>
      <c r="D20" s="1398"/>
      <c r="E20" s="1409">
        <f>SUM(E25,E21)</f>
        <v>12000000</v>
      </c>
      <c r="F20" s="1409">
        <f>SUM(F25,F21)</f>
        <v>12000000</v>
      </c>
      <c r="G20" s="1410">
        <f>SUM(G25,G21)</f>
        <v>18893410.119999997</v>
      </c>
      <c r="H20" s="1108">
        <f t="shared" si="1"/>
        <v>1.5744508433333331</v>
      </c>
    </row>
    <row r="21" spans="1:8" ht="12.75" customHeight="1">
      <c r="A21" s="1354"/>
      <c r="B21" s="4770" t="s">
        <v>21</v>
      </c>
      <c r="C21" s="4770"/>
      <c r="D21" s="1411"/>
      <c r="E21" s="1412">
        <f>SUM(E22:E24)</f>
        <v>12000000</v>
      </c>
      <c r="F21" s="1412">
        <f>SUM(F22:F24)</f>
        <v>12000000</v>
      </c>
      <c r="G21" s="285">
        <f>SUM(G22:G24)</f>
        <v>18893410.119999997</v>
      </c>
      <c r="H21" s="1384">
        <f t="shared" si="1"/>
        <v>1.5744508433333331</v>
      </c>
    </row>
    <row r="22" spans="1:8" ht="15.75" customHeight="1">
      <c r="A22" s="1354"/>
      <c r="B22" s="4781"/>
      <c r="C22" s="1413" t="s">
        <v>37</v>
      </c>
      <c r="D22" s="1414" t="s">
        <v>38</v>
      </c>
      <c r="E22" s="1391">
        <v>12000000</v>
      </c>
      <c r="F22" s="1387">
        <v>12000000</v>
      </c>
      <c r="G22" s="1388">
        <v>18648306.559999999</v>
      </c>
      <c r="H22" s="1389">
        <f t="shared" si="1"/>
        <v>1.5540255466666666</v>
      </c>
    </row>
    <row r="23" spans="1:8" ht="25.5">
      <c r="A23" s="1354"/>
      <c r="B23" s="4782"/>
      <c r="C23" s="1413" t="s">
        <v>39</v>
      </c>
      <c r="D23" s="1385" t="s">
        <v>40</v>
      </c>
      <c r="E23" s="1391">
        <v>0</v>
      </c>
      <c r="F23" s="1387">
        <v>0</v>
      </c>
      <c r="G23" s="1388">
        <v>244525.13</v>
      </c>
      <c r="H23" s="1389"/>
    </row>
    <row r="24" spans="1:8" ht="25.5">
      <c r="A24" s="1354"/>
      <c r="B24" s="4783"/>
      <c r="C24" s="1415" t="s">
        <v>988</v>
      </c>
      <c r="D24" s="1414" t="s">
        <v>25</v>
      </c>
      <c r="E24" s="1416">
        <v>0</v>
      </c>
      <c r="F24" s="1387">
        <v>0</v>
      </c>
      <c r="G24" s="1388">
        <v>578.42999999999995</v>
      </c>
      <c r="H24" s="1417"/>
    </row>
    <row r="25" spans="1:8" ht="13.5" customHeight="1" thickBot="1">
      <c r="A25" s="1355"/>
      <c r="B25" s="4771" t="s">
        <v>26</v>
      </c>
      <c r="C25" s="4772"/>
      <c r="D25" s="1418"/>
      <c r="E25" s="1406">
        <v>0</v>
      </c>
      <c r="F25" s="1406">
        <v>0</v>
      </c>
      <c r="G25" s="1407">
        <v>0</v>
      </c>
      <c r="H25" s="1419"/>
    </row>
    <row r="26" spans="1:8" ht="15.75" thickBot="1">
      <c r="A26" s="1373"/>
      <c r="B26" s="1420" t="s">
        <v>43</v>
      </c>
      <c r="C26" s="1375" t="s">
        <v>44</v>
      </c>
      <c r="D26" s="1376"/>
      <c r="E26" s="1421">
        <f>E27+E31</f>
        <v>3629000</v>
      </c>
      <c r="F26" s="1110">
        <f>F27+F31</f>
        <v>3561042</v>
      </c>
      <c r="G26" s="1107">
        <f>G27+G31</f>
        <v>2553754.1800000002</v>
      </c>
      <c r="H26" s="1108">
        <f t="shared" si="1"/>
        <v>0.71713677625818517</v>
      </c>
    </row>
    <row r="27" spans="1:8">
      <c r="A27" s="1354"/>
      <c r="B27" s="4536" t="s">
        <v>21</v>
      </c>
      <c r="C27" s="4722"/>
      <c r="D27" s="1422"/>
      <c r="E27" s="1393">
        <f>SUM(E28:E30)</f>
        <v>3629000</v>
      </c>
      <c r="F27" s="1423">
        <f>SUM(F28:F30)</f>
        <v>3561042</v>
      </c>
      <c r="G27" s="1424">
        <f>SUM(G28:G30)</f>
        <v>2553754.1800000002</v>
      </c>
      <c r="H27" s="1384">
        <f t="shared" si="1"/>
        <v>0.71713677625818517</v>
      </c>
    </row>
    <row r="28" spans="1:8" ht="38.25">
      <c r="A28" s="1354"/>
      <c r="B28" s="5"/>
      <c r="C28" s="1425" t="s">
        <v>308</v>
      </c>
      <c r="D28" s="1426" t="s">
        <v>69</v>
      </c>
      <c r="E28" s="1391">
        <v>0</v>
      </c>
      <c r="F28" s="1387">
        <v>0</v>
      </c>
      <c r="G28" s="1388">
        <v>49</v>
      </c>
      <c r="H28" s="1389"/>
    </row>
    <row r="29" spans="1:8" ht="40.5" customHeight="1">
      <c r="A29" s="1354"/>
      <c r="B29" s="4782"/>
      <c r="C29" s="286" t="s">
        <v>46</v>
      </c>
      <c r="D29" s="705">
        <v>2210</v>
      </c>
      <c r="E29" s="1391">
        <v>3629000</v>
      </c>
      <c r="F29" s="1387">
        <v>3561042</v>
      </c>
      <c r="G29" s="1388">
        <v>2553703.08</v>
      </c>
      <c r="H29" s="1389">
        <f t="shared" si="1"/>
        <v>0.71712242652571923</v>
      </c>
    </row>
    <row r="30" spans="1:8" ht="26.25" customHeight="1">
      <c r="A30" s="1354"/>
      <c r="B30" s="4783"/>
      <c r="C30" s="1427" t="s">
        <v>48</v>
      </c>
      <c r="D30" s="1428">
        <v>2950</v>
      </c>
      <c r="E30" s="1095">
        <v>0</v>
      </c>
      <c r="F30" s="1387">
        <v>0</v>
      </c>
      <c r="G30" s="707">
        <v>2.1</v>
      </c>
      <c r="H30" s="1417"/>
    </row>
    <row r="31" spans="1:8" ht="15.75" thickBot="1">
      <c r="A31" s="1355"/>
      <c r="B31" s="4700" t="s">
        <v>26</v>
      </c>
      <c r="C31" s="4721"/>
      <c r="D31" s="1405"/>
      <c r="E31" s="1406">
        <v>0</v>
      </c>
      <c r="F31" s="1429">
        <v>0</v>
      </c>
      <c r="G31" s="1407">
        <v>0</v>
      </c>
      <c r="H31" s="1419"/>
    </row>
    <row r="32" spans="1:8" ht="15.75" customHeight="1" thickBot="1">
      <c r="A32" s="254" t="s">
        <v>49</v>
      </c>
      <c r="B32" s="709"/>
      <c r="C32" s="710" t="s">
        <v>50</v>
      </c>
      <c r="D32" s="142"/>
      <c r="E32" s="50">
        <f t="shared" ref="E32:G32" si="3">SUM(E33)</f>
        <v>400000</v>
      </c>
      <c r="F32" s="239">
        <f t="shared" si="3"/>
        <v>400000</v>
      </c>
      <c r="G32" s="240">
        <f t="shared" si="3"/>
        <v>452828.12999999995</v>
      </c>
      <c r="H32" s="241">
        <f t="shared" si="1"/>
        <v>1.1320703249999999</v>
      </c>
    </row>
    <row r="33" spans="1:8" ht="40.5" customHeight="1" thickBot="1">
      <c r="A33" s="4760"/>
      <c r="B33" s="1430" t="s">
        <v>51</v>
      </c>
      <c r="C33" s="1375" t="s">
        <v>52</v>
      </c>
      <c r="D33" s="1376"/>
      <c r="E33" s="1431">
        <f>SUM(E34,E39)</f>
        <v>400000</v>
      </c>
      <c r="F33" s="1432">
        <f>SUM(F34,F39)</f>
        <v>400000</v>
      </c>
      <c r="G33" s="383">
        <f>SUM(G34,G39)</f>
        <v>452828.12999999995</v>
      </c>
      <c r="H33" s="1108">
        <f t="shared" si="1"/>
        <v>1.1320703249999999</v>
      </c>
    </row>
    <row r="34" spans="1:8">
      <c r="A34" s="4761"/>
      <c r="B34" s="4536" t="s">
        <v>21</v>
      </c>
      <c r="C34" s="4722"/>
      <c r="D34" s="1433"/>
      <c r="E34" s="1434">
        <f>SUM(E35:E38)</f>
        <v>400000</v>
      </c>
      <c r="F34" s="1400">
        <f>SUM(F35:F38)</f>
        <v>400000</v>
      </c>
      <c r="G34" s="1401">
        <f>SUM(G35:G38)</f>
        <v>452828.12999999995</v>
      </c>
      <c r="H34" s="1384">
        <f t="shared" si="1"/>
        <v>1.1320703249999999</v>
      </c>
    </row>
    <row r="35" spans="1:8" ht="38.25" customHeight="1">
      <c r="A35" s="4761"/>
      <c r="B35" s="4766"/>
      <c r="C35" s="1435" t="s">
        <v>53</v>
      </c>
      <c r="D35" s="1436">
        <v>2058</v>
      </c>
      <c r="E35" s="1391">
        <v>300000</v>
      </c>
      <c r="F35" s="1387">
        <v>300000</v>
      </c>
      <c r="G35" s="1388">
        <v>292211.09999999998</v>
      </c>
      <c r="H35" s="1389">
        <f t="shared" si="1"/>
        <v>0.97403699999999993</v>
      </c>
    </row>
    <row r="36" spans="1:8" ht="39.75" customHeight="1">
      <c r="A36" s="4761"/>
      <c r="B36" s="4767"/>
      <c r="C36" s="1435" t="s">
        <v>54</v>
      </c>
      <c r="D36" s="1436">
        <v>2059</v>
      </c>
      <c r="E36" s="1391">
        <v>100000</v>
      </c>
      <c r="F36" s="1387">
        <v>100000</v>
      </c>
      <c r="G36" s="1388">
        <v>97403.86</v>
      </c>
      <c r="H36" s="1389">
        <f t="shared" si="1"/>
        <v>0.97403859999999998</v>
      </c>
    </row>
    <row r="37" spans="1:8" ht="51">
      <c r="A37" s="4761"/>
      <c r="B37" s="4767"/>
      <c r="C37" s="711" t="s">
        <v>1105</v>
      </c>
      <c r="D37" s="705">
        <v>2058</v>
      </c>
      <c r="E37" s="704">
        <v>0</v>
      </c>
      <c r="F37" s="706">
        <v>0</v>
      </c>
      <c r="G37" s="707">
        <v>47409.87</v>
      </c>
      <c r="H37" s="1389"/>
    </row>
    <row r="38" spans="1:8" ht="51">
      <c r="A38" s="4761"/>
      <c r="B38" s="4768"/>
      <c r="C38" s="1437" t="s">
        <v>1104</v>
      </c>
      <c r="D38" s="1436">
        <v>2059</v>
      </c>
      <c r="E38" s="704">
        <v>0</v>
      </c>
      <c r="F38" s="706">
        <v>0</v>
      </c>
      <c r="G38" s="707">
        <v>15803.3</v>
      </c>
      <c r="H38" s="708"/>
    </row>
    <row r="39" spans="1:8" ht="15.75" thickBot="1">
      <c r="A39" s="4762"/>
      <c r="B39" s="4700" t="s">
        <v>26</v>
      </c>
      <c r="C39" s="4721"/>
      <c r="D39" s="143"/>
      <c r="E39" s="1438">
        <v>0</v>
      </c>
      <c r="F39" s="1406">
        <v>0</v>
      </c>
      <c r="G39" s="1407">
        <v>0</v>
      </c>
      <c r="H39" s="1419"/>
    </row>
    <row r="40" spans="1:8" ht="15.75" customHeight="1" thickBot="1">
      <c r="A40" s="1439" t="s">
        <v>55</v>
      </c>
      <c r="B40" s="1440"/>
      <c r="C40" s="1441" t="s">
        <v>56</v>
      </c>
      <c r="D40" s="1442"/>
      <c r="E40" s="735">
        <f t="shared" ref="E40:G40" si="4">SUM(E41)</f>
        <v>2211</v>
      </c>
      <c r="F40" s="735">
        <f t="shared" si="4"/>
        <v>2211</v>
      </c>
      <c r="G40" s="1443">
        <f t="shared" si="4"/>
        <v>2687.65</v>
      </c>
      <c r="H40" s="736">
        <f t="shared" si="1"/>
        <v>1.21558118498417</v>
      </c>
    </row>
    <row r="41" spans="1:8" ht="15" customHeight="1" thickBot="1">
      <c r="A41" s="4763"/>
      <c r="B41" s="712" t="s">
        <v>57</v>
      </c>
      <c r="C41" s="232" t="s">
        <v>44</v>
      </c>
      <c r="D41" s="272"/>
      <c r="E41" s="281">
        <f>SUM(E45,E42)</f>
        <v>2211</v>
      </c>
      <c r="F41" s="281">
        <f>SUM(F45,F42)</f>
        <v>2211</v>
      </c>
      <c r="G41" s="282">
        <f>SUM(G45,G42)</f>
        <v>2687.65</v>
      </c>
      <c r="H41" s="237">
        <f t="shared" si="1"/>
        <v>1.21558118498417</v>
      </c>
    </row>
    <row r="42" spans="1:8" ht="13.5" customHeight="1">
      <c r="A42" s="4761"/>
      <c r="B42" s="4744" t="s">
        <v>21</v>
      </c>
      <c r="C42" s="4745"/>
      <c r="D42" s="440"/>
      <c r="E42" s="263">
        <f>SUM(E43:E44)</f>
        <v>2211</v>
      </c>
      <c r="F42" s="263">
        <f>SUM(F43:F44)</f>
        <v>2211</v>
      </c>
      <c r="G42" s="264">
        <f>SUM(G43:G44)</f>
        <v>2687.65</v>
      </c>
      <c r="H42" s="238">
        <f t="shared" si="1"/>
        <v>1.21558118498417</v>
      </c>
    </row>
    <row r="43" spans="1:8" ht="38.25">
      <c r="A43" s="4761"/>
      <c r="B43" s="674"/>
      <c r="C43" s="713" t="s">
        <v>58</v>
      </c>
      <c r="D43" s="675" t="s">
        <v>41</v>
      </c>
      <c r="E43" s="676">
        <v>0</v>
      </c>
      <c r="F43" s="676">
        <v>0</v>
      </c>
      <c r="G43" s="714">
        <v>0.44</v>
      </c>
      <c r="H43" s="269"/>
    </row>
    <row r="44" spans="1:8" ht="37.5" customHeight="1">
      <c r="A44" s="4761"/>
      <c r="B44" s="669"/>
      <c r="C44" s="715" t="s">
        <v>59</v>
      </c>
      <c r="D44" s="716">
        <v>2360</v>
      </c>
      <c r="E44" s="236">
        <v>2211</v>
      </c>
      <c r="F44" s="227">
        <v>2211</v>
      </c>
      <c r="G44" s="228">
        <v>2687.21</v>
      </c>
      <c r="H44" s="229">
        <f t="shared" si="1"/>
        <v>1.2153821800090456</v>
      </c>
    </row>
    <row r="45" spans="1:8" ht="14.25" customHeight="1" thickBot="1">
      <c r="A45" s="4762"/>
      <c r="B45" s="4650" t="s">
        <v>60</v>
      </c>
      <c r="C45" s="4651"/>
      <c r="D45" s="288"/>
      <c r="E45" s="717">
        <v>0</v>
      </c>
      <c r="F45" s="717">
        <v>0</v>
      </c>
      <c r="G45" s="279">
        <v>0</v>
      </c>
      <c r="H45" s="280"/>
    </row>
    <row r="46" spans="1:8" ht="15.75" thickBot="1">
      <c r="A46" s="254" t="s">
        <v>61</v>
      </c>
      <c r="B46" s="255"/>
      <c r="C46" s="256" t="s">
        <v>62</v>
      </c>
      <c r="D46" s="257"/>
      <c r="E46" s="261">
        <f>SUM(E47)</f>
        <v>0</v>
      </c>
      <c r="F46" s="261">
        <f>SUM(F47)</f>
        <v>558424</v>
      </c>
      <c r="G46" s="258">
        <f>SUM(G47)</f>
        <v>558420.71</v>
      </c>
      <c r="H46" s="241">
        <f>G46/F46</f>
        <v>0.99999410841940883</v>
      </c>
    </row>
    <row r="47" spans="1:8" ht="15.75" thickBot="1">
      <c r="A47" s="4760"/>
      <c r="B47" s="1444" t="s">
        <v>63</v>
      </c>
      <c r="C47" s="1445" t="s">
        <v>64</v>
      </c>
      <c r="D47" s="1446"/>
      <c r="E47" s="1378">
        <f>SUM(E51,E48)</f>
        <v>0</v>
      </c>
      <c r="F47" s="1378">
        <f>SUM(F51,F48)</f>
        <v>558424</v>
      </c>
      <c r="G47" s="1379">
        <f>SUM(G51,G48)</f>
        <v>558420.71</v>
      </c>
      <c r="H47" s="1108">
        <f t="shared" si="1"/>
        <v>0.99999410841940883</v>
      </c>
    </row>
    <row r="48" spans="1:8">
      <c r="A48" s="4761"/>
      <c r="B48" s="4682" t="s">
        <v>21</v>
      </c>
      <c r="C48" s="4682"/>
      <c r="D48" s="1447"/>
      <c r="E48" s="259">
        <f>SUM(E49:E50)</f>
        <v>0</v>
      </c>
      <c r="F48" s="259">
        <f>SUM(F49:F50)</f>
        <v>492769</v>
      </c>
      <c r="G48" s="260">
        <f>SUM(G49:G50)</f>
        <v>492766.22</v>
      </c>
      <c r="H48" s="1384">
        <f t="shared" si="1"/>
        <v>0.99999435841134476</v>
      </c>
    </row>
    <row r="49" spans="1:11" ht="51">
      <c r="A49" s="4761"/>
      <c r="B49" s="4648"/>
      <c r="C49" s="251" t="s">
        <v>551</v>
      </c>
      <c r="D49" s="1403">
        <v>2957</v>
      </c>
      <c r="E49" s="1448">
        <v>0</v>
      </c>
      <c r="F49" s="1449">
        <v>67443</v>
      </c>
      <c r="G49" s="1388">
        <v>67442.3</v>
      </c>
      <c r="H49" s="1450">
        <f t="shared" si="1"/>
        <v>0.99998962086502685</v>
      </c>
    </row>
    <row r="50" spans="1:11" ht="38.25">
      <c r="A50" s="4761"/>
      <c r="B50" s="4716"/>
      <c r="C50" s="1451" t="s">
        <v>66</v>
      </c>
      <c r="D50" s="1403">
        <v>2959</v>
      </c>
      <c r="E50" s="1448">
        <v>0</v>
      </c>
      <c r="F50" s="1449">
        <v>425326</v>
      </c>
      <c r="G50" s="1388">
        <v>425323.92</v>
      </c>
      <c r="H50" s="1389">
        <f t="shared" si="1"/>
        <v>0.99999510963355165</v>
      </c>
    </row>
    <row r="51" spans="1:11">
      <c r="A51" s="4761"/>
      <c r="B51" s="4717" t="s">
        <v>67</v>
      </c>
      <c r="C51" s="4718"/>
      <c r="D51" s="1452"/>
      <c r="E51" s="1453">
        <f>SUM(E52:E53)</f>
        <v>0</v>
      </c>
      <c r="F51" s="1453">
        <f t="shared" ref="F51:G51" si="5">SUM(F52:F53)</f>
        <v>65655</v>
      </c>
      <c r="G51" s="1454">
        <f t="shared" si="5"/>
        <v>65654.490000000005</v>
      </c>
      <c r="H51" s="1384">
        <f>G51/F51</f>
        <v>0.99999223212245836</v>
      </c>
    </row>
    <row r="52" spans="1:11" ht="63.75">
      <c r="A52" s="4761"/>
      <c r="B52" s="4764"/>
      <c r="C52" s="1455" t="s">
        <v>552</v>
      </c>
      <c r="D52" s="252">
        <v>6669</v>
      </c>
      <c r="E52" s="253">
        <v>0</v>
      </c>
      <c r="F52" s="253">
        <v>64459</v>
      </c>
      <c r="G52" s="1456">
        <v>64458.57</v>
      </c>
      <c r="H52" s="1450">
        <f>G52/F52</f>
        <v>0.99999332909291172</v>
      </c>
    </row>
    <row r="53" spans="1:11" ht="64.5" thickBot="1">
      <c r="A53" s="4762"/>
      <c r="B53" s="4765"/>
      <c r="C53" s="1457" t="s">
        <v>68</v>
      </c>
      <c r="D53" s="897">
        <v>6669</v>
      </c>
      <c r="E53" s="262">
        <v>0</v>
      </c>
      <c r="F53" s="262">
        <v>1196</v>
      </c>
      <c r="G53" s="1458">
        <v>1195.92</v>
      </c>
      <c r="H53" s="896">
        <f t="shared" si="1"/>
        <v>0.99993311036789301</v>
      </c>
    </row>
    <row r="54" spans="1:11" s="1" customFormat="1" ht="15.75" thickBot="1">
      <c r="A54" s="1459">
        <v>600</v>
      </c>
      <c r="B54" s="1460"/>
      <c r="C54" s="734" t="s">
        <v>70</v>
      </c>
      <c r="D54" s="734"/>
      <c r="E54" s="735">
        <f>SUM(E55,E68,E77,E83,E88,E114,)</f>
        <v>261169146</v>
      </c>
      <c r="F54" s="735">
        <f>SUM(F55,F68,F77,F83,F88,F114,)</f>
        <v>449819123</v>
      </c>
      <c r="G54" s="1443">
        <f>SUM(G55,G68,G77,G83,G88,G114,)</f>
        <v>452064045.44999999</v>
      </c>
      <c r="H54" s="736">
        <f t="shared" si="1"/>
        <v>1.0049907225709476</v>
      </c>
    </row>
    <row r="55" spans="1:11" s="1" customFormat="1" ht="15.75" thickBot="1">
      <c r="A55" s="1461"/>
      <c r="B55" s="1462">
        <v>60001</v>
      </c>
      <c r="C55" s="1375" t="s">
        <v>71</v>
      </c>
      <c r="D55" s="1398"/>
      <c r="E55" s="1432">
        <f>SUM(E56,E66)</f>
        <v>32757354</v>
      </c>
      <c r="F55" s="1432">
        <f>SUM(F56,F66)</f>
        <v>33623944</v>
      </c>
      <c r="G55" s="383">
        <f>SUM(G56,G66)</f>
        <v>42554690.32</v>
      </c>
      <c r="H55" s="1108">
        <f t="shared" si="1"/>
        <v>1.2656067450029063</v>
      </c>
    </row>
    <row r="56" spans="1:11" s="1" customFormat="1">
      <c r="A56" s="673"/>
      <c r="B56" s="4537" t="s">
        <v>21</v>
      </c>
      <c r="C56" s="4722"/>
      <c r="D56" s="1399"/>
      <c r="E56" s="1400">
        <f>SUM(E57:E65)</f>
        <v>31257354</v>
      </c>
      <c r="F56" s="1400">
        <f>SUM(F57:F65)</f>
        <v>32123944</v>
      </c>
      <c r="G56" s="1401">
        <f>SUM(G57:G65)</f>
        <v>41054690.32</v>
      </c>
      <c r="H56" s="1384">
        <f t="shared" si="1"/>
        <v>1.2780090240476076</v>
      </c>
    </row>
    <row r="57" spans="1:11" s="1" customFormat="1">
      <c r="A57" s="673"/>
      <c r="B57" s="862"/>
      <c r="C57" s="1463" t="s">
        <v>72</v>
      </c>
      <c r="D57" s="1464" t="s">
        <v>23</v>
      </c>
      <c r="E57" s="1391">
        <v>21478029</v>
      </c>
      <c r="F57" s="1387">
        <v>21478029</v>
      </c>
      <c r="G57" s="1388">
        <v>25480309.48</v>
      </c>
      <c r="H57" s="1389">
        <f t="shared" si="1"/>
        <v>1.1863430056826909</v>
      </c>
    </row>
    <row r="58" spans="1:11" ht="25.5" customHeight="1">
      <c r="A58" s="6"/>
      <c r="B58" s="138"/>
      <c r="C58" s="1437" t="s">
        <v>1010</v>
      </c>
      <c r="D58" s="4746" t="s">
        <v>45</v>
      </c>
      <c r="E58" s="1465">
        <v>0</v>
      </c>
      <c r="F58" s="1387">
        <v>0</v>
      </c>
      <c r="G58" s="1388">
        <v>4148442.66</v>
      </c>
      <c r="H58" s="1389"/>
    </row>
    <row r="59" spans="1:11" ht="31.5" customHeight="1">
      <c r="A59" s="6"/>
      <c r="B59" s="138"/>
      <c r="C59" s="1437" t="s">
        <v>1121</v>
      </c>
      <c r="D59" s="4747"/>
      <c r="E59" s="1465">
        <v>0</v>
      </c>
      <c r="F59" s="1387">
        <v>0</v>
      </c>
      <c r="G59" s="1388">
        <v>11159.6</v>
      </c>
      <c r="H59" s="1389"/>
    </row>
    <row r="60" spans="1:11" ht="30" customHeight="1">
      <c r="A60" s="6"/>
      <c r="B60" s="138"/>
      <c r="C60" s="4654" t="s">
        <v>1011</v>
      </c>
      <c r="D60" s="1464" t="s">
        <v>41</v>
      </c>
      <c r="E60" s="1386">
        <v>0</v>
      </c>
      <c r="F60" s="1387">
        <v>0</v>
      </c>
      <c r="G60" s="1388">
        <v>302.14999999999998</v>
      </c>
      <c r="H60" s="1389"/>
    </row>
    <row r="61" spans="1:11" ht="24.75" customHeight="1">
      <c r="A61" s="6"/>
      <c r="B61" s="138"/>
      <c r="C61" s="4655"/>
      <c r="D61" s="1464" t="s">
        <v>32</v>
      </c>
      <c r="E61" s="1465">
        <v>0</v>
      </c>
      <c r="F61" s="1387">
        <v>0</v>
      </c>
      <c r="G61" s="1388">
        <v>73600</v>
      </c>
      <c r="H61" s="1389"/>
    </row>
    <row r="62" spans="1:11" ht="28.5" customHeight="1">
      <c r="A62" s="6"/>
      <c r="B62" s="138"/>
      <c r="C62" s="1437" t="s">
        <v>1122</v>
      </c>
      <c r="D62" s="1466" t="s">
        <v>25</v>
      </c>
      <c r="E62" s="1386">
        <v>0</v>
      </c>
      <c r="F62" s="706">
        <v>0</v>
      </c>
      <c r="G62" s="707">
        <v>694962</v>
      </c>
      <c r="H62" s="708"/>
    </row>
    <row r="63" spans="1:11" s="1" customFormat="1" ht="40.5" customHeight="1">
      <c r="A63" s="673"/>
      <c r="B63" s="668"/>
      <c r="C63" s="1435" t="s">
        <v>73</v>
      </c>
      <c r="D63" s="1414" t="s">
        <v>74</v>
      </c>
      <c r="E63" s="1391">
        <v>5375000</v>
      </c>
      <c r="F63" s="1387">
        <v>5375000</v>
      </c>
      <c r="G63" s="1388">
        <v>5375000</v>
      </c>
      <c r="H63" s="1389">
        <f t="shared" ref="H63:H113" si="6">G63/F63</f>
        <v>1</v>
      </c>
      <c r="K63" s="861"/>
    </row>
    <row r="64" spans="1:11" ht="42" customHeight="1">
      <c r="A64" s="6"/>
      <c r="B64" s="137"/>
      <c r="C64" s="1467" t="s">
        <v>75</v>
      </c>
      <c r="D64" s="1396" t="s">
        <v>76</v>
      </c>
      <c r="E64" s="1465">
        <v>0</v>
      </c>
      <c r="F64" s="1468">
        <v>83232</v>
      </c>
      <c r="G64" s="1469">
        <v>83231.429999999993</v>
      </c>
      <c r="H64" s="1450">
        <f t="shared" si="6"/>
        <v>0.99999315167243363</v>
      </c>
    </row>
    <row r="65" spans="1:8" ht="39" customHeight="1">
      <c r="A65" s="6"/>
      <c r="B65" s="138"/>
      <c r="C65" s="1470" t="s">
        <v>77</v>
      </c>
      <c r="D65" s="231" t="s">
        <v>78</v>
      </c>
      <c r="E65" s="1465">
        <v>4404325</v>
      </c>
      <c r="F65" s="1468">
        <v>5187683</v>
      </c>
      <c r="G65" s="1469">
        <v>5187683</v>
      </c>
      <c r="H65" s="1450">
        <f t="shared" si="6"/>
        <v>1</v>
      </c>
    </row>
    <row r="66" spans="1:8" s="1" customFormat="1">
      <c r="A66" s="673"/>
      <c r="B66" s="4723" t="s">
        <v>67</v>
      </c>
      <c r="C66" s="4723"/>
      <c r="D66" s="1471"/>
      <c r="E66" s="1472">
        <f>SUM(E67)</f>
        <v>1500000</v>
      </c>
      <c r="F66" s="1472">
        <f>SUM(F67)</f>
        <v>1500000</v>
      </c>
      <c r="G66" s="1473">
        <f>SUM(G67)</f>
        <v>1500000</v>
      </c>
      <c r="H66" s="1474">
        <f t="shared" si="6"/>
        <v>1</v>
      </c>
    </row>
    <row r="67" spans="1:8" s="1" customFormat="1" ht="42.75" customHeight="1" thickBot="1">
      <c r="A67" s="673"/>
      <c r="B67" s="1475"/>
      <c r="C67" s="1470" t="s">
        <v>80</v>
      </c>
      <c r="D67" s="809">
        <v>6350</v>
      </c>
      <c r="E67" s="1416">
        <v>1500000</v>
      </c>
      <c r="F67" s="1387">
        <v>1500000</v>
      </c>
      <c r="G67" s="707">
        <v>1500000</v>
      </c>
      <c r="H67" s="708">
        <f t="shared" si="6"/>
        <v>1</v>
      </c>
    </row>
    <row r="68" spans="1:8" s="1" customFormat="1" ht="17.25" customHeight="1" thickBot="1">
      <c r="A68" s="673"/>
      <c r="B68" s="1462">
        <v>60002</v>
      </c>
      <c r="C68" s="1375" t="s">
        <v>81</v>
      </c>
      <c r="D68" s="1398"/>
      <c r="E68" s="1110">
        <f>SUM(E69,E72)</f>
        <v>23715021</v>
      </c>
      <c r="F68" s="1110">
        <f>SUM(F69,F72)</f>
        <v>207653040</v>
      </c>
      <c r="G68" s="1107">
        <f>SUM(G69,G72)</f>
        <v>206030173.24000004</v>
      </c>
      <c r="H68" s="1108">
        <f t="shared" si="6"/>
        <v>0.99218471947244324</v>
      </c>
    </row>
    <row r="69" spans="1:8">
      <c r="A69" s="6"/>
      <c r="B69" s="4536" t="s">
        <v>21</v>
      </c>
      <c r="C69" s="4724"/>
      <c r="D69" s="1399"/>
      <c r="E69" s="1400">
        <f>SUM(E70:E71)</f>
        <v>0</v>
      </c>
      <c r="F69" s="1400">
        <f t="shared" ref="F69:G69" si="7">SUM(F70:F71)</f>
        <v>0</v>
      </c>
      <c r="G69" s="1476">
        <f t="shared" si="7"/>
        <v>1339476.0900000001</v>
      </c>
      <c r="H69" s="1477"/>
    </row>
    <row r="70" spans="1:8" s="1" customFormat="1" ht="22.5" customHeight="1">
      <c r="A70" s="673"/>
      <c r="B70" s="674"/>
      <c r="C70" s="4654" t="s">
        <v>987</v>
      </c>
      <c r="D70" s="675" t="s">
        <v>41</v>
      </c>
      <c r="E70" s="1478">
        <v>0</v>
      </c>
      <c r="F70" s="1478">
        <v>0</v>
      </c>
      <c r="G70" s="1479">
        <v>2077.7199999999998</v>
      </c>
      <c r="H70" s="1450"/>
    </row>
    <row r="71" spans="1:8" s="1" customFormat="1" ht="22.5" customHeight="1" thickBot="1">
      <c r="A71" s="860"/>
      <c r="B71" s="1480"/>
      <c r="C71" s="4656"/>
      <c r="D71" s="1481" t="s">
        <v>25</v>
      </c>
      <c r="E71" s="894">
        <v>0</v>
      </c>
      <c r="F71" s="894">
        <v>0</v>
      </c>
      <c r="G71" s="895">
        <v>1337398.3700000001</v>
      </c>
      <c r="H71" s="1482"/>
    </row>
    <row r="72" spans="1:8">
      <c r="A72" s="1483"/>
      <c r="B72" s="4536" t="s">
        <v>67</v>
      </c>
      <c r="C72" s="4725"/>
      <c r="D72" s="1484"/>
      <c r="E72" s="1434">
        <f>SUM(E73:E76)</f>
        <v>23715021</v>
      </c>
      <c r="F72" s="1434">
        <f>SUM(F73:F76)</f>
        <v>207653040</v>
      </c>
      <c r="G72" s="1485">
        <f>SUM(G73:G76)</f>
        <v>204690697.15000004</v>
      </c>
      <c r="H72" s="1486">
        <f t="shared" si="6"/>
        <v>0.98573417056644119</v>
      </c>
    </row>
    <row r="73" spans="1:8" ht="66.75" customHeight="1">
      <c r="A73" s="6"/>
      <c r="B73" s="1487"/>
      <c r="C73" s="1488" t="s">
        <v>83</v>
      </c>
      <c r="D73" s="1489">
        <v>6207</v>
      </c>
      <c r="E73" s="1391">
        <v>0</v>
      </c>
      <c r="F73" s="1387">
        <v>176339125</v>
      </c>
      <c r="G73" s="1388">
        <v>171009061.33000001</v>
      </c>
      <c r="H73" s="1389">
        <f t="shared" si="6"/>
        <v>0.96977378860193397</v>
      </c>
    </row>
    <row r="74" spans="1:8" ht="56.25" customHeight="1">
      <c r="A74" s="6"/>
      <c r="B74" s="8"/>
      <c r="C74" s="1490" t="s">
        <v>84</v>
      </c>
      <c r="D74" s="1491">
        <v>6257</v>
      </c>
      <c r="E74" s="1416">
        <v>22920771</v>
      </c>
      <c r="F74" s="1468">
        <v>24069453</v>
      </c>
      <c r="G74" s="1469">
        <v>23698578.239999998</v>
      </c>
      <c r="H74" s="1450">
        <f t="shared" si="6"/>
        <v>0.98459147534428793</v>
      </c>
    </row>
    <row r="75" spans="1:8" ht="70.5" customHeight="1">
      <c r="A75" s="6"/>
      <c r="B75" s="65"/>
      <c r="C75" s="1490" t="s">
        <v>1106</v>
      </c>
      <c r="D75" s="1436">
        <v>6257</v>
      </c>
      <c r="E75" s="1492">
        <v>0</v>
      </c>
      <c r="F75" s="1387">
        <v>0</v>
      </c>
      <c r="G75" s="424">
        <v>2738595.58</v>
      </c>
      <c r="H75" s="425"/>
    </row>
    <row r="76" spans="1:8" ht="45" customHeight="1" thickBot="1">
      <c r="A76" s="6"/>
      <c r="B76" s="9"/>
      <c r="C76" s="670" t="s">
        <v>85</v>
      </c>
      <c r="D76" s="671">
        <v>6300</v>
      </c>
      <c r="E76" s="672">
        <v>794250</v>
      </c>
      <c r="F76" s="894">
        <v>7244462</v>
      </c>
      <c r="G76" s="895">
        <v>7244462</v>
      </c>
      <c r="H76" s="896">
        <f t="shared" si="6"/>
        <v>1</v>
      </c>
    </row>
    <row r="77" spans="1:8" s="1" customFormat="1" ht="15.75" thickBot="1">
      <c r="A77" s="673"/>
      <c r="B77" s="863">
        <v>60003</v>
      </c>
      <c r="C77" s="864" t="s">
        <v>86</v>
      </c>
      <c r="D77" s="436"/>
      <c r="E77" s="810">
        <f>SUM(E78,E82)</f>
        <v>51604000</v>
      </c>
      <c r="F77" s="810">
        <f>SUM(F78,F82)</f>
        <v>72061315</v>
      </c>
      <c r="G77" s="811">
        <f>SUM(G78,G82)</f>
        <v>72065345.959999993</v>
      </c>
      <c r="H77" s="439">
        <f t="shared" si="6"/>
        <v>1.0000559379189791</v>
      </c>
    </row>
    <row r="78" spans="1:8" s="1" customFormat="1">
      <c r="A78" s="673"/>
      <c r="B78" s="4537" t="s">
        <v>21</v>
      </c>
      <c r="C78" s="4722"/>
      <c r="D78" s="1399"/>
      <c r="E78" s="1400">
        <f>SUM(E79:E81)</f>
        <v>51604000</v>
      </c>
      <c r="F78" s="1400">
        <f>SUM(F79:F81)</f>
        <v>72061315</v>
      </c>
      <c r="G78" s="1401">
        <f>SUM(G79:G81)</f>
        <v>72065345.959999993</v>
      </c>
      <c r="H78" s="1384">
        <f t="shared" si="6"/>
        <v>1.0000559379189791</v>
      </c>
    </row>
    <row r="79" spans="1:8" s="1" customFormat="1" ht="30" customHeight="1">
      <c r="A79" s="673"/>
      <c r="B79" s="865"/>
      <c r="C79" s="1493" t="s">
        <v>535</v>
      </c>
      <c r="D79" s="1390" t="s">
        <v>69</v>
      </c>
      <c r="E79" s="1391">
        <v>0</v>
      </c>
      <c r="F79" s="1387">
        <v>0</v>
      </c>
      <c r="G79" s="1388">
        <v>4033</v>
      </c>
      <c r="H79" s="1417"/>
    </row>
    <row r="80" spans="1:8" s="1" customFormat="1" ht="41.25" customHeight="1">
      <c r="A80" s="673"/>
      <c r="B80" s="4729"/>
      <c r="C80" s="1494" t="s">
        <v>46</v>
      </c>
      <c r="D80" s="1390">
        <v>2210</v>
      </c>
      <c r="E80" s="1391">
        <v>51604000</v>
      </c>
      <c r="F80" s="1387">
        <v>71978005</v>
      </c>
      <c r="G80" s="1388">
        <v>71978004.629999995</v>
      </c>
      <c r="H80" s="1389">
        <f t="shared" si="6"/>
        <v>0.99999999485954072</v>
      </c>
    </row>
    <row r="81" spans="1:8" s="1" customFormat="1" ht="29.25" customHeight="1">
      <c r="A81" s="673"/>
      <c r="B81" s="4729"/>
      <c r="C81" s="1413" t="s">
        <v>536</v>
      </c>
      <c r="D81" s="1385" t="s">
        <v>42</v>
      </c>
      <c r="E81" s="1391">
        <v>0</v>
      </c>
      <c r="F81" s="1387">
        <v>83310</v>
      </c>
      <c r="G81" s="1388">
        <v>83308.33</v>
      </c>
      <c r="H81" s="1417"/>
    </row>
    <row r="82" spans="1:8" s="1" customFormat="1" ht="15.75" thickBot="1">
      <c r="A82" s="860"/>
      <c r="B82" s="4701" t="s">
        <v>26</v>
      </c>
      <c r="C82" s="4539"/>
      <c r="D82" s="441"/>
      <c r="E82" s="1406">
        <v>0</v>
      </c>
      <c r="F82" s="1406">
        <v>0</v>
      </c>
      <c r="G82" s="1407">
        <v>0</v>
      </c>
      <c r="H82" s="1419"/>
    </row>
    <row r="83" spans="1:8" s="1" customFormat="1" ht="15.75" thickBot="1">
      <c r="A83" s="1461"/>
      <c r="B83" s="1462">
        <v>60004</v>
      </c>
      <c r="C83" s="1375" t="s">
        <v>88</v>
      </c>
      <c r="D83" s="1398"/>
      <c r="E83" s="1110">
        <f>SUM(E84)</f>
        <v>50000</v>
      </c>
      <c r="F83" s="1110">
        <f>SUM(F84)</f>
        <v>50000</v>
      </c>
      <c r="G83" s="1107">
        <f>SUM(G84)</f>
        <v>32484.15</v>
      </c>
      <c r="H83" s="1108">
        <f t="shared" si="6"/>
        <v>0.64968300000000001</v>
      </c>
    </row>
    <row r="84" spans="1:8" s="1" customFormat="1">
      <c r="A84" s="673"/>
      <c r="B84" s="4730" t="s">
        <v>21</v>
      </c>
      <c r="C84" s="4731"/>
      <c r="D84" s="275"/>
      <c r="E84" s="1412">
        <f t="shared" ref="E84:G84" si="8">SUM(E85:E86)</f>
        <v>50000</v>
      </c>
      <c r="F84" s="1412">
        <f t="shared" si="8"/>
        <v>50000</v>
      </c>
      <c r="G84" s="285">
        <f t="shared" si="8"/>
        <v>32484.15</v>
      </c>
      <c r="H84" s="1384">
        <f t="shared" si="6"/>
        <v>0.64968300000000001</v>
      </c>
    </row>
    <row r="85" spans="1:8" s="1" customFormat="1" ht="15.75" customHeight="1">
      <c r="A85" s="673"/>
      <c r="B85" s="4732"/>
      <c r="C85" s="1496" t="s">
        <v>89</v>
      </c>
      <c r="D85" s="1497" t="s">
        <v>90</v>
      </c>
      <c r="E85" s="1391">
        <v>50000</v>
      </c>
      <c r="F85" s="1387">
        <v>50000</v>
      </c>
      <c r="G85" s="1388">
        <v>32019.15</v>
      </c>
      <c r="H85" s="1389">
        <f>G85/F85</f>
        <v>0.64038300000000004</v>
      </c>
    </row>
    <row r="86" spans="1:8" s="1" customFormat="1" ht="41.25" customHeight="1">
      <c r="A86" s="673"/>
      <c r="B86" s="4733"/>
      <c r="C86" s="1496" t="s">
        <v>59</v>
      </c>
      <c r="D86" s="1498" t="s">
        <v>91</v>
      </c>
      <c r="E86" s="1499">
        <v>0</v>
      </c>
      <c r="F86" s="1387">
        <v>0</v>
      </c>
      <c r="G86" s="1388">
        <v>465</v>
      </c>
      <c r="H86" s="1417"/>
    </row>
    <row r="87" spans="1:8" s="1" customFormat="1" ht="15.75" thickBot="1">
      <c r="A87" s="673"/>
      <c r="B87" s="4701" t="s">
        <v>26</v>
      </c>
      <c r="C87" s="4721"/>
      <c r="D87" s="1405"/>
      <c r="E87" s="1406">
        <v>0</v>
      </c>
      <c r="F87" s="1406">
        <v>0</v>
      </c>
      <c r="G87" s="1407">
        <v>0</v>
      </c>
      <c r="H87" s="1419"/>
    </row>
    <row r="88" spans="1:8" ht="15.75" thickBot="1">
      <c r="A88" s="945"/>
      <c r="B88" s="1500">
        <v>60013</v>
      </c>
      <c r="C88" s="1501" t="s">
        <v>92</v>
      </c>
      <c r="D88" s="1502"/>
      <c r="E88" s="1431">
        <f>SUM(E104,E89)</f>
        <v>152730670</v>
      </c>
      <c r="F88" s="1431">
        <f>SUM(F104,F89)</f>
        <v>136112285</v>
      </c>
      <c r="G88" s="203">
        <f>SUM(G104,G89)</f>
        <v>131088677.48999998</v>
      </c>
      <c r="H88" s="1503">
        <f t="shared" si="6"/>
        <v>0.96309218150294063</v>
      </c>
    </row>
    <row r="89" spans="1:8">
      <c r="A89" s="945"/>
      <c r="B89" s="4670" t="s">
        <v>21</v>
      </c>
      <c r="C89" s="4726"/>
      <c r="D89" s="1504"/>
      <c r="E89" s="1505">
        <f>SUM(E90:E103)</f>
        <v>1109000</v>
      </c>
      <c r="F89" s="1434">
        <f>SUM(F90:F103)</f>
        <v>5014000</v>
      </c>
      <c r="G89" s="1506">
        <f>SUM(G90:G103)</f>
        <v>4946371.57</v>
      </c>
      <c r="H89" s="1495">
        <f t="shared" si="6"/>
        <v>0.98651208017550862</v>
      </c>
    </row>
    <row r="90" spans="1:8">
      <c r="A90" s="945"/>
      <c r="B90" s="946"/>
      <c r="C90" s="4719" t="s">
        <v>93</v>
      </c>
      <c r="D90" s="1507" t="s">
        <v>94</v>
      </c>
      <c r="E90" s="1508">
        <v>0</v>
      </c>
      <c r="F90" s="1509">
        <v>0</v>
      </c>
      <c r="G90" s="1510">
        <v>98286.38</v>
      </c>
      <c r="H90" s="1511"/>
    </row>
    <row r="91" spans="1:8">
      <c r="A91" s="945"/>
      <c r="B91" s="946"/>
      <c r="C91" s="4660"/>
      <c r="D91" s="1507" t="s">
        <v>95</v>
      </c>
      <c r="E91" s="1512">
        <v>0</v>
      </c>
      <c r="F91" s="1513">
        <v>0</v>
      </c>
      <c r="G91" s="1510">
        <v>84480</v>
      </c>
      <c r="H91" s="1511"/>
    </row>
    <row r="92" spans="1:8">
      <c r="A92" s="945"/>
      <c r="B92" s="947"/>
      <c r="C92" s="4660"/>
      <c r="D92" s="1514" t="s">
        <v>90</v>
      </c>
      <c r="E92" s="1512">
        <v>1100000</v>
      </c>
      <c r="F92" s="1513">
        <v>1100000</v>
      </c>
      <c r="G92" s="1510">
        <v>1630956.31</v>
      </c>
      <c r="H92" s="1515"/>
    </row>
    <row r="93" spans="1:8">
      <c r="A93" s="945"/>
      <c r="B93" s="947"/>
      <c r="C93" s="4660"/>
      <c r="D93" s="1514" t="s">
        <v>87</v>
      </c>
      <c r="E93" s="1512">
        <v>0</v>
      </c>
      <c r="F93" s="1513">
        <v>0</v>
      </c>
      <c r="G93" s="1510">
        <v>30738</v>
      </c>
      <c r="H93" s="1515"/>
    </row>
    <row r="94" spans="1:8">
      <c r="A94" s="945"/>
      <c r="B94" s="947"/>
      <c r="C94" s="4660"/>
      <c r="D94" s="1514" t="s">
        <v>96</v>
      </c>
      <c r="E94" s="1512">
        <v>0</v>
      </c>
      <c r="F94" s="1513">
        <v>0</v>
      </c>
      <c r="G94" s="1510">
        <v>1848</v>
      </c>
      <c r="H94" s="1515"/>
    </row>
    <row r="95" spans="1:8">
      <c r="A95" s="945"/>
      <c r="B95" s="947"/>
      <c r="C95" s="4660"/>
      <c r="D95" s="1514" t="s">
        <v>23</v>
      </c>
      <c r="E95" s="1512">
        <v>0</v>
      </c>
      <c r="F95" s="1513">
        <v>0</v>
      </c>
      <c r="G95" s="1510">
        <v>465.18</v>
      </c>
      <c r="H95" s="1515"/>
    </row>
    <row r="96" spans="1:8">
      <c r="A96" s="945"/>
      <c r="B96" s="947"/>
      <c r="C96" s="4660"/>
      <c r="D96" s="1514" t="s">
        <v>24</v>
      </c>
      <c r="E96" s="1512">
        <v>0</v>
      </c>
      <c r="F96" s="1513">
        <v>0</v>
      </c>
      <c r="G96" s="1510">
        <v>4307.82</v>
      </c>
      <c r="H96" s="1515"/>
    </row>
    <row r="97" spans="1:8">
      <c r="A97" s="945"/>
      <c r="B97" s="947"/>
      <c r="C97" s="4660"/>
      <c r="D97" s="1514" t="s">
        <v>41</v>
      </c>
      <c r="E97" s="1512">
        <v>0</v>
      </c>
      <c r="F97" s="1513">
        <v>0</v>
      </c>
      <c r="G97" s="1510">
        <v>67495.899999999994</v>
      </c>
      <c r="H97" s="1515"/>
    </row>
    <row r="98" spans="1:8">
      <c r="A98" s="945"/>
      <c r="B98" s="947"/>
      <c r="C98" s="4660"/>
      <c r="D98" s="1514" t="s">
        <v>45</v>
      </c>
      <c r="E98" s="1512">
        <v>0</v>
      </c>
      <c r="F98" s="1513">
        <v>0</v>
      </c>
      <c r="G98" s="1510">
        <v>181986.28</v>
      </c>
      <c r="H98" s="1515"/>
    </row>
    <row r="99" spans="1:8">
      <c r="A99" s="945"/>
      <c r="B99" s="947"/>
      <c r="C99" s="4660"/>
      <c r="D99" s="1514" t="s">
        <v>32</v>
      </c>
      <c r="E99" s="1512">
        <v>0</v>
      </c>
      <c r="F99" s="1513">
        <v>0</v>
      </c>
      <c r="G99" s="1510">
        <v>326876.56</v>
      </c>
      <c r="H99" s="1515"/>
    </row>
    <row r="100" spans="1:8">
      <c r="A100" s="945"/>
      <c r="B100" s="947"/>
      <c r="C100" s="4720"/>
      <c r="D100" s="1516" t="s">
        <v>25</v>
      </c>
      <c r="E100" s="1512">
        <v>9000</v>
      </c>
      <c r="F100" s="1513">
        <v>9000</v>
      </c>
      <c r="G100" s="1510">
        <v>-1199909.3999999999</v>
      </c>
      <c r="H100" s="1515">
        <f>G100/F100</f>
        <v>-133.32326666666665</v>
      </c>
    </row>
    <row r="101" spans="1:8" ht="25.5">
      <c r="A101" s="945"/>
      <c r="B101" s="947"/>
      <c r="C101" s="1517" t="s">
        <v>47</v>
      </c>
      <c r="D101" s="1516" t="s">
        <v>549</v>
      </c>
      <c r="E101" s="1518">
        <v>0</v>
      </c>
      <c r="F101" s="1513">
        <v>0</v>
      </c>
      <c r="G101" s="1510">
        <v>75713.06</v>
      </c>
      <c r="H101" s="1515"/>
    </row>
    <row r="102" spans="1:8" ht="29.25" customHeight="1">
      <c r="A102" s="945"/>
      <c r="B102" s="947"/>
      <c r="C102" s="1519" t="s">
        <v>97</v>
      </c>
      <c r="D102" s="1520" t="s">
        <v>1061</v>
      </c>
      <c r="E102" s="1518">
        <v>0</v>
      </c>
      <c r="F102" s="1513">
        <v>500000</v>
      </c>
      <c r="G102" s="1510">
        <v>500000</v>
      </c>
      <c r="H102" s="1515">
        <f t="shared" si="6"/>
        <v>1</v>
      </c>
    </row>
    <row r="103" spans="1:8" ht="40.5" customHeight="1" thickBot="1">
      <c r="A103" s="1521"/>
      <c r="B103" s="1522"/>
      <c r="C103" s="1523" t="s">
        <v>98</v>
      </c>
      <c r="D103" s="1524" t="s">
        <v>78</v>
      </c>
      <c r="E103" s="1525">
        <v>0</v>
      </c>
      <c r="F103" s="1526">
        <v>3405000</v>
      </c>
      <c r="G103" s="1527">
        <v>3143127.48</v>
      </c>
      <c r="H103" s="1528">
        <f t="shared" si="6"/>
        <v>0.92309177092511008</v>
      </c>
    </row>
    <row r="104" spans="1:8">
      <c r="A104" s="1529"/>
      <c r="B104" s="4727" t="s">
        <v>67</v>
      </c>
      <c r="C104" s="4728"/>
      <c r="D104" s="1530"/>
      <c r="E104" s="1434">
        <f>SUM(E105:E113)</f>
        <v>151621670</v>
      </c>
      <c r="F104" s="1434">
        <f>SUM(F105:F113)</f>
        <v>131098285</v>
      </c>
      <c r="G104" s="1531">
        <f>SUM(G105:G113)</f>
        <v>126142305.91999999</v>
      </c>
      <c r="H104" s="1532">
        <f t="shared" si="6"/>
        <v>0.96219646138010106</v>
      </c>
    </row>
    <row r="105" spans="1:8" ht="25.5">
      <c r="A105" s="945"/>
      <c r="B105" s="1533"/>
      <c r="C105" s="1534" t="s">
        <v>93</v>
      </c>
      <c r="D105" s="1507" t="s">
        <v>28</v>
      </c>
      <c r="E105" s="1535">
        <v>0</v>
      </c>
      <c r="F105" s="1509">
        <v>0</v>
      </c>
      <c r="G105" s="1510">
        <v>165647.79</v>
      </c>
      <c r="H105" s="1389"/>
    </row>
    <row r="106" spans="1:8" ht="63.75">
      <c r="A106" s="6"/>
      <c r="B106" s="8"/>
      <c r="C106" s="1536" t="s">
        <v>100</v>
      </c>
      <c r="D106" s="938" t="s">
        <v>99</v>
      </c>
      <c r="E106" s="1512">
        <v>0</v>
      </c>
      <c r="F106" s="1537">
        <v>3597559</v>
      </c>
      <c r="G106" s="1538">
        <v>3597558.65</v>
      </c>
      <c r="H106" s="1389">
        <f t="shared" si="6"/>
        <v>0.99999990271181094</v>
      </c>
    </row>
    <row r="107" spans="1:8" ht="51">
      <c r="A107" s="6"/>
      <c r="B107" s="8"/>
      <c r="C107" s="1539" t="s">
        <v>1107</v>
      </c>
      <c r="D107" s="1514" t="s">
        <v>101</v>
      </c>
      <c r="E107" s="1512">
        <v>59148348</v>
      </c>
      <c r="F107" s="1537">
        <v>75313387</v>
      </c>
      <c r="G107" s="1538">
        <v>71978958.730000004</v>
      </c>
      <c r="H107" s="1389">
        <f t="shared" si="6"/>
        <v>0.95572595520103221</v>
      </c>
    </row>
    <row r="108" spans="1:8" ht="76.5">
      <c r="A108" s="6"/>
      <c r="B108" s="8"/>
      <c r="C108" s="1540" t="s">
        <v>102</v>
      </c>
      <c r="D108" s="1514" t="s">
        <v>1030</v>
      </c>
      <c r="E108" s="1518">
        <v>0</v>
      </c>
      <c r="F108" s="1541">
        <v>0</v>
      </c>
      <c r="G108" s="1542">
        <v>1375094.66</v>
      </c>
      <c r="H108" s="1543"/>
    </row>
    <row r="109" spans="1:8" ht="76.5">
      <c r="A109" s="6"/>
      <c r="B109" s="8"/>
      <c r="C109" s="1534" t="s">
        <v>103</v>
      </c>
      <c r="D109" s="1544" t="s">
        <v>1030</v>
      </c>
      <c r="E109" s="1512">
        <v>0</v>
      </c>
      <c r="F109" s="1537">
        <v>0</v>
      </c>
      <c r="G109" s="1538">
        <v>226269.3</v>
      </c>
      <c r="H109" s="1545"/>
    </row>
    <row r="110" spans="1:8" ht="51">
      <c r="A110" s="6"/>
      <c r="B110" s="8"/>
      <c r="C110" s="1546" t="s">
        <v>1029</v>
      </c>
      <c r="D110" s="1547">
        <v>6290</v>
      </c>
      <c r="E110" s="1512">
        <v>0</v>
      </c>
      <c r="F110" s="1537">
        <v>38224647</v>
      </c>
      <c r="G110" s="1538">
        <v>35922218.82</v>
      </c>
      <c r="H110" s="1548">
        <f t="shared" si="6"/>
        <v>0.93976587462011096</v>
      </c>
    </row>
    <row r="111" spans="1:8" ht="43.5" customHeight="1">
      <c r="A111" s="6"/>
      <c r="B111" s="8"/>
      <c r="C111" s="1549" t="s">
        <v>85</v>
      </c>
      <c r="D111" s="1550">
        <v>6300</v>
      </c>
      <c r="E111" s="1512">
        <v>647153</v>
      </c>
      <c r="F111" s="1537">
        <v>11462692</v>
      </c>
      <c r="G111" s="1538">
        <v>10376557.970000001</v>
      </c>
      <c r="H111" s="1548">
        <f t="shared" si="6"/>
        <v>0.90524616468801578</v>
      </c>
    </row>
    <row r="112" spans="1:8" ht="41.25" customHeight="1">
      <c r="A112" s="6"/>
      <c r="B112" s="8"/>
      <c r="C112" s="1546" t="s">
        <v>104</v>
      </c>
      <c r="D112" s="1550">
        <v>6350</v>
      </c>
      <c r="E112" s="1512">
        <v>75826169</v>
      </c>
      <c r="F112" s="1537">
        <v>0</v>
      </c>
      <c r="G112" s="1538">
        <v>0</v>
      </c>
      <c r="H112" s="1548"/>
    </row>
    <row r="113" spans="1:8" ht="33" customHeight="1" thickBot="1">
      <c r="A113" s="1551"/>
      <c r="B113" s="9"/>
      <c r="C113" s="1552" t="s">
        <v>542</v>
      </c>
      <c r="D113" s="1553">
        <v>6370</v>
      </c>
      <c r="E113" s="1554">
        <v>16000000</v>
      </c>
      <c r="F113" s="1555">
        <v>2500000</v>
      </c>
      <c r="G113" s="1556">
        <v>2500000</v>
      </c>
      <c r="H113" s="1557">
        <f t="shared" si="6"/>
        <v>1</v>
      </c>
    </row>
    <row r="114" spans="1:8" s="1" customFormat="1" ht="15.75" thickBot="1">
      <c r="A114" s="1461"/>
      <c r="B114" s="1558">
        <v>60095</v>
      </c>
      <c r="C114" s="1559" t="s">
        <v>44</v>
      </c>
      <c r="D114" s="1560"/>
      <c r="E114" s="1110">
        <f t="shared" ref="E114:G114" si="9">SUM(E115,E119)</f>
        <v>312101</v>
      </c>
      <c r="F114" s="1110">
        <f t="shared" si="9"/>
        <v>318539</v>
      </c>
      <c r="G114" s="1107">
        <f t="shared" si="9"/>
        <v>292674.28999999998</v>
      </c>
      <c r="H114" s="1108">
        <f t="shared" ref="H114:H154" si="10">G114/F114</f>
        <v>0.91880206191392566</v>
      </c>
    </row>
    <row r="115" spans="1:8" s="1" customFormat="1">
      <c r="A115" s="673"/>
      <c r="B115" s="4734" t="s">
        <v>21</v>
      </c>
      <c r="C115" s="4734"/>
      <c r="D115" s="1561"/>
      <c r="E115" s="1412">
        <f>SUM(E116:E118)</f>
        <v>312101</v>
      </c>
      <c r="F115" s="1412">
        <f>SUM(F116:F118)</f>
        <v>318539</v>
      </c>
      <c r="G115" s="285">
        <f>SUM(G116:G118)</f>
        <v>292674.28999999998</v>
      </c>
      <c r="H115" s="1384">
        <f t="shared" si="10"/>
        <v>0.91880206191392566</v>
      </c>
    </row>
    <row r="116" spans="1:8" ht="66" customHeight="1">
      <c r="A116" s="6"/>
      <c r="B116" s="1562"/>
      <c r="C116" s="1563" t="s">
        <v>301</v>
      </c>
      <c r="D116" s="1385" t="s">
        <v>38</v>
      </c>
      <c r="E116" s="1391">
        <v>680</v>
      </c>
      <c r="F116" s="1387">
        <v>680</v>
      </c>
      <c r="G116" s="1388">
        <v>2420</v>
      </c>
      <c r="H116" s="1389">
        <f t="shared" si="10"/>
        <v>3.5588235294117645</v>
      </c>
    </row>
    <row r="117" spans="1:8" ht="40.5" customHeight="1">
      <c r="A117" s="6"/>
      <c r="B117" s="4735"/>
      <c r="C117" s="1564" t="s">
        <v>46</v>
      </c>
      <c r="D117" s="1404">
        <v>2210</v>
      </c>
      <c r="E117" s="1416">
        <v>303000</v>
      </c>
      <c r="F117" s="1468">
        <v>309438</v>
      </c>
      <c r="G117" s="1469">
        <v>282766.78999999998</v>
      </c>
      <c r="H117" s="1450">
        <f t="shared" si="10"/>
        <v>0.91380758019377062</v>
      </c>
    </row>
    <row r="118" spans="1:8" ht="39" customHeight="1">
      <c r="A118" s="6"/>
      <c r="B118" s="4736"/>
      <c r="C118" s="1080" t="s">
        <v>59</v>
      </c>
      <c r="D118" s="1404">
        <v>2360</v>
      </c>
      <c r="E118" s="1386">
        <v>8421</v>
      </c>
      <c r="F118" s="1387">
        <v>8421</v>
      </c>
      <c r="G118" s="1388">
        <v>7487.5</v>
      </c>
      <c r="H118" s="1389">
        <f t="shared" si="10"/>
        <v>0.8891461821636385</v>
      </c>
    </row>
    <row r="119" spans="1:8" s="1" customFormat="1" ht="15.75" thickBot="1">
      <c r="A119" s="860"/>
      <c r="B119" s="4701" t="s">
        <v>26</v>
      </c>
      <c r="C119" s="4701"/>
      <c r="D119" s="1565"/>
      <c r="E119" s="1406">
        <v>0</v>
      </c>
      <c r="F119" s="1406">
        <v>0</v>
      </c>
      <c r="G119" s="1407">
        <v>0</v>
      </c>
      <c r="H119" s="1419"/>
    </row>
    <row r="120" spans="1:8" ht="15.75" thickBot="1">
      <c r="A120" s="1459">
        <v>630</v>
      </c>
      <c r="B120" s="1460"/>
      <c r="C120" s="1368" t="s">
        <v>105</v>
      </c>
      <c r="D120" s="734"/>
      <c r="E120" s="735">
        <f>SUM(E121)</f>
        <v>58000</v>
      </c>
      <c r="F120" s="735">
        <f>SUM(F121)</f>
        <v>60614</v>
      </c>
      <c r="G120" s="1566">
        <f>SUM(G121)</f>
        <v>60614</v>
      </c>
      <c r="H120" s="736">
        <f t="shared" si="10"/>
        <v>1</v>
      </c>
    </row>
    <row r="121" spans="1:8" ht="15.75" thickBot="1">
      <c r="A121" s="4694"/>
      <c r="B121" s="718">
        <v>63095</v>
      </c>
      <c r="C121" s="719" t="s">
        <v>44</v>
      </c>
      <c r="D121" s="720"/>
      <c r="E121" s="437">
        <f t="shared" ref="E121:G121" si="11">E122+E124</f>
        <v>58000</v>
      </c>
      <c r="F121" s="437">
        <f t="shared" si="11"/>
        <v>60614</v>
      </c>
      <c r="G121" s="438">
        <f t="shared" si="11"/>
        <v>60614</v>
      </c>
      <c r="H121" s="439">
        <f t="shared" si="10"/>
        <v>1</v>
      </c>
    </row>
    <row r="122" spans="1:8">
      <c r="A122" s="4694"/>
      <c r="B122" s="4646" t="s">
        <v>21</v>
      </c>
      <c r="C122" s="4696"/>
      <c r="D122" s="721"/>
      <c r="E122" s="722">
        <f t="shared" ref="E122:G122" si="12">E123</f>
        <v>58000</v>
      </c>
      <c r="F122" s="722">
        <f t="shared" si="12"/>
        <v>60614</v>
      </c>
      <c r="G122" s="723">
        <f t="shared" si="12"/>
        <v>60614</v>
      </c>
      <c r="H122" s="724">
        <f t="shared" si="10"/>
        <v>1</v>
      </c>
    </row>
    <row r="123" spans="1:8" ht="38.25" customHeight="1">
      <c r="A123" s="4694"/>
      <c r="B123" s="668"/>
      <c r="C123" s="725" t="s">
        <v>46</v>
      </c>
      <c r="D123" s="726">
        <v>2210</v>
      </c>
      <c r="E123" s="727">
        <v>58000</v>
      </c>
      <c r="F123" s="244">
        <v>60614</v>
      </c>
      <c r="G123" s="728">
        <v>60614</v>
      </c>
      <c r="H123" s="729">
        <f t="shared" si="10"/>
        <v>1</v>
      </c>
    </row>
    <row r="124" spans="1:8" ht="15.75" thickBot="1">
      <c r="A124" s="4695"/>
      <c r="B124" s="4738" t="s">
        <v>26</v>
      </c>
      <c r="C124" s="4739"/>
      <c r="D124" s="730"/>
      <c r="E124" s="731">
        <v>0</v>
      </c>
      <c r="F124" s="731">
        <v>0</v>
      </c>
      <c r="G124" s="732">
        <v>0</v>
      </c>
      <c r="H124" s="733"/>
    </row>
    <row r="125" spans="1:8" s="1" customFormat="1" ht="15.75" thickBot="1">
      <c r="A125" s="737">
        <v>700</v>
      </c>
      <c r="B125" s="1460"/>
      <c r="C125" s="1368" t="s">
        <v>106</v>
      </c>
      <c r="D125" s="734"/>
      <c r="E125" s="735">
        <f>SUM(E126,)</f>
        <v>3809000</v>
      </c>
      <c r="F125" s="735">
        <f>SUM(F126,)</f>
        <v>8741426</v>
      </c>
      <c r="G125" s="1443">
        <f>SUM(G126,)</f>
        <v>18808026.25</v>
      </c>
      <c r="H125" s="736">
        <f t="shared" si="10"/>
        <v>2.1515970334817225</v>
      </c>
    </row>
    <row r="126" spans="1:8" s="1" customFormat="1" ht="15.75" thickBot="1">
      <c r="A126" s="1569"/>
      <c r="B126" s="1462">
        <v>70005</v>
      </c>
      <c r="C126" s="1375" t="s">
        <v>107</v>
      </c>
      <c r="D126" s="1398"/>
      <c r="E126" s="1110">
        <f>SUM(E127,E137)</f>
        <v>3809000</v>
      </c>
      <c r="F126" s="1110">
        <f>SUM(F127,F137)</f>
        <v>8741426</v>
      </c>
      <c r="G126" s="1107">
        <f>SUM(G127,G137)</f>
        <v>18808026.25</v>
      </c>
      <c r="H126" s="1108">
        <f t="shared" si="10"/>
        <v>2.1515970334817225</v>
      </c>
    </row>
    <row r="127" spans="1:8">
      <c r="A127" s="11"/>
      <c r="B127" s="4682" t="s">
        <v>21</v>
      </c>
      <c r="C127" s="4711"/>
      <c r="D127" s="1452"/>
      <c r="E127" s="1570">
        <f>SUM(E128:E136)</f>
        <v>409000</v>
      </c>
      <c r="F127" s="1570">
        <f>SUM(F128:F136)</f>
        <v>5341426</v>
      </c>
      <c r="G127" s="1571">
        <f>SUM(G128:G136)</f>
        <v>5347926.3600000003</v>
      </c>
      <c r="H127" s="1384">
        <f t="shared" si="10"/>
        <v>1.0012169708987826</v>
      </c>
    </row>
    <row r="128" spans="1:8">
      <c r="A128" s="11"/>
      <c r="B128" s="1567"/>
      <c r="C128" s="1413" t="s">
        <v>108</v>
      </c>
      <c r="D128" s="1385" t="s">
        <v>109</v>
      </c>
      <c r="E128" s="1391">
        <v>330000</v>
      </c>
      <c r="F128" s="1387">
        <v>330000</v>
      </c>
      <c r="G128" s="1388">
        <v>338933.42</v>
      </c>
      <c r="H128" s="1389">
        <f t="shared" si="10"/>
        <v>1.0270709696969695</v>
      </c>
    </row>
    <row r="129" spans="1:8" s="12" customFormat="1" ht="16.5" customHeight="1">
      <c r="A129" s="11"/>
      <c r="B129" s="11"/>
      <c r="C129" s="1494" t="s">
        <v>110</v>
      </c>
      <c r="D129" s="1390" t="s">
        <v>111</v>
      </c>
      <c r="E129" s="1391">
        <v>24000</v>
      </c>
      <c r="F129" s="1572">
        <v>24000</v>
      </c>
      <c r="G129" s="1573">
        <v>19905.349999999999</v>
      </c>
      <c r="H129" s="1389">
        <f t="shared" si="10"/>
        <v>0.82938958333333324</v>
      </c>
    </row>
    <row r="130" spans="1:8" s="12" customFormat="1">
      <c r="A130" s="11"/>
      <c r="B130" s="11"/>
      <c r="C130" s="1494" t="s">
        <v>991</v>
      </c>
      <c r="D130" s="1390" t="s">
        <v>87</v>
      </c>
      <c r="E130" s="1391">
        <v>0</v>
      </c>
      <c r="F130" s="1572">
        <v>0</v>
      </c>
      <c r="G130" s="1573">
        <v>1970</v>
      </c>
      <c r="H130" s="1389"/>
    </row>
    <row r="131" spans="1:8" s="12" customFormat="1">
      <c r="A131" s="11"/>
      <c r="B131" s="11"/>
      <c r="C131" s="1413" t="s">
        <v>112</v>
      </c>
      <c r="D131" s="1385" t="s">
        <v>23</v>
      </c>
      <c r="E131" s="1391">
        <v>30000</v>
      </c>
      <c r="F131" s="1572">
        <v>30000</v>
      </c>
      <c r="G131" s="1573">
        <v>35770.050000000003</v>
      </c>
      <c r="H131" s="1389">
        <f t="shared" si="10"/>
        <v>1.1923350000000001</v>
      </c>
    </row>
    <row r="132" spans="1:8" ht="15.75" thickBot="1">
      <c r="A132" s="13"/>
      <c r="B132" s="13"/>
      <c r="C132" s="1574" t="s">
        <v>113</v>
      </c>
      <c r="D132" s="1481" t="s">
        <v>24</v>
      </c>
      <c r="E132" s="893">
        <v>25000</v>
      </c>
      <c r="F132" s="894">
        <v>25000</v>
      </c>
      <c r="G132" s="895">
        <v>14477.77</v>
      </c>
      <c r="H132" s="896">
        <f t="shared" si="10"/>
        <v>0.57911080000000004</v>
      </c>
    </row>
    <row r="133" spans="1:8" ht="38.25">
      <c r="A133" s="1569"/>
      <c r="B133" s="1569"/>
      <c r="C133" s="1575" t="s">
        <v>989</v>
      </c>
      <c r="D133" s="4714" t="s">
        <v>41</v>
      </c>
      <c r="E133" s="1576">
        <v>0</v>
      </c>
      <c r="F133" s="1577">
        <v>0</v>
      </c>
      <c r="G133" s="1578">
        <v>3223.34</v>
      </c>
      <c r="H133" s="1579"/>
    </row>
    <row r="134" spans="1:8" ht="25.5" customHeight="1">
      <c r="A134" s="11"/>
      <c r="B134" s="11"/>
      <c r="C134" s="1568" t="s">
        <v>1012</v>
      </c>
      <c r="D134" s="4715"/>
      <c r="E134" s="1416">
        <v>0</v>
      </c>
      <c r="F134" s="1468">
        <v>0</v>
      </c>
      <c r="G134" s="1469">
        <v>29.64</v>
      </c>
      <c r="H134" s="1389"/>
    </row>
    <row r="135" spans="1:8" ht="25.5">
      <c r="A135" s="11"/>
      <c r="B135" s="11"/>
      <c r="C135" s="1568" t="s">
        <v>990</v>
      </c>
      <c r="D135" s="4737" t="s">
        <v>45</v>
      </c>
      <c r="E135" s="1416">
        <v>0</v>
      </c>
      <c r="F135" s="1468">
        <v>4932426</v>
      </c>
      <c r="G135" s="1469">
        <v>4932425.5999999996</v>
      </c>
      <c r="H135" s="1389">
        <f t="shared" si="10"/>
        <v>0.99999991890400375</v>
      </c>
    </row>
    <row r="136" spans="1:8" ht="25.5">
      <c r="A136" s="11"/>
      <c r="B136" s="1580"/>
      <c r="C136" s="1581" t="s">
        <v>1101</v>
      </c>
      <c r="D136" s="4715"/>
      <c r="E136" s="1386">
        <v>0</v>
      </c>
      <c r="F136" s="1387">
        <v>0</v>
      </c>
      <c r="G136" s="1388">
        <v>1191.19</v>
      </c>
      <c r="H136" s="1582"/>
    </row>
    <row r="137" spans="1:8">
      <c r="A137" s="11"/>
      <c r="B137" s="4682" t="s">
        <v>67</v>
      </c>
      <c r="C137" s="4711"/>
      <c r="D137" s="1452"/>
      <c r="E137" s="1570">
        <f>SUM(E138:E139)</f>
        <v>3400000</v>
      </c>
      <c r="F137" s="1570">
        <f>SUM(F138:F139)</f>
        <v>3400000</v>
      </c>
      <c r="G137" s="1583">
        <f>SUM(G138:G139)</f>
        <v>13460099.890000001</v>
      </c>
      <c r="H137" s="1384">
        <f t="shared" si="10"/>
        <v>3.9588529088235296</v>
      </c>
    </row>
    <row r="138" spans="1:8" ht="17.25" customHeight="1">
      <c r="A138" s="11"/>
      <c r="B138" s="137"/>
      <c r="C138" s="1563" t="s">
        <v>114</v>
      </c>
      <c r="D138" s="1385" t="s">
        <v>115</v>
      </c>
      <c r="E138" s="1391">
        <v>3400000</v>
      </c>
      <c r="F138" s="1387">
        <v>3400000</v>
      </c>
      <c r="G138" s="707">
        <v>13410628.24</v>
      </c>
      <c r="H138" s="1389">
        <f t="shared" si="10"/>
        <v>3.944302423529412</v>
      </c>
    </row>
    <row r="139" spans="1:8" s="12" customFormat="1" ht="15.75" thickBot="1">
      <c r="A139" s="13"/>
      <c r="B139" s="14"/>
      <c r="C139" s="1584" t="s">
        <v>537</v>
      </c>
      <c r="D139" s="1481" t="s">
        <v>116</v>
      </c>
      <c r="E139" s="893">
        <v>0</v>
      </c>
      <c r="F139" s="1585">
        <v>0</v>
      </c>
      <c r="G139" s="1586">
        <v>49471.65</v>
      </c>
      <c r="H139" s="896"/>
    </row>
    <row r="140" spans="1:8" s="1" customFormat="1" ht="15.75" thickBot="1">
      <c r="A140" s="737">
        <v>710</v>
      </c>
      <c r="B140" s="1590"/>
      <c r="C140" s="1591" t="s">
        <v>117</v>
      </c>
      <c r="D140" s="1592"/>
      <c r="E140" s="1100">
        <f>SUM(E141,E145,E149)</f>
        <v>356383</v>
      </c>
      <c r="F140" s="1100">
        <f>SUM(F141,F145,F149)</f>
        <v>368684</v>
      </c>
      <c r="G140" s="1101">
        <f>SUM(G141,G145,G149)</f>
        <v>392325.32</v>
      </c>
      <c r="H140" s="736">
        <f t="shared" si="10"/>
        <v>1.0641235312625446</v>
      </c>
    </row>
    <row r="141" spans="1:8" ht="15.75" thickBot="1">
      <c r="A141" s="1593"/>
      <c r="B141" s="434">
        <v>71004</v>
      </c>
      <c r="C141" s="435" t="s">
        <v>412</v>
      </c>
      <c r="D141" s="436"/>
      <c r="E141" s="437">
        <f>SUM(E144,E142)</f>
        <v>0</v>
      </c>
      <c r="F141" s="437">
        <f>SUM(F144,F142)</f>
        <v>0</v>
      </c>
      <c r="G141" s="438">
        <f>SUM(G144,G142)</f>
        <v>24500</v>
      </c>
      <c r="H141" s="439"/>
    </row>
    <row r="142" spans="1:8">
      <c r="A142" s="1589"/>
      <c r="B142" s="4707" t="s">
        <v>21</v>
      </c>
      <c r="C142" s="4708"/>
      <c r="D142" s="1452"/>
      <c r="E142" s="1412">
        <f>SUM(E143:E143)</f>
        <v>0</v>
      </c>
      <c r="F142" s="1412">
        <f>SUM(F143:F143)</f>
        <v>0</v>
      </c>
      <c r="G142" s="285">
        <f>SUM(G143:G143)</f>
        <v>24500</v>
      </c>
      <c r="H142" s="1384"/>
    </row>
    <row r="143" spans="1:8" ht="76.5">
      <c r="A143" s="1589"/>
      <c r="B143" s="1594"/>
      <c r="C143" s="1595" t="s">
        <v>561</v>
      </c>
      <c r="D143" s="1497" t="s">
        <v>79</v>
      </c>
      <c r="E143" s="1391">
        <v>0</v>
      </c>
      <c r="F143" s="1387">
        <v>0</v>
      </c>
      <c r="G143" s="1388">
        <v>24500</v>
      </c>
      <c r="H143" s="1389"/>
    </row>
    <row r="144" spans="1:8" ht="15.75" thickBot="1">
      <c r="A144" s="1589"/>
      <c r="B144" s="4709" t="s">
        <v>26</v>
      </c>
      <c r="C144" s="4710"/>
      <c r="D144" s="441"/>
      <c r="E144" s="442">
        <v>0</v>
      </c>
      <c r="F144" s="1603">
        <v>0</v>
      </c>
      <c r="G144" s="1597">
        <v>0</v>
      </c>
      <c r="H144" s="1408"/>
    </row>
    <row r="145" spans="1:8" ht="15.75" thickBot="1">
      <c r="A145" s="1589"/>
      <c r="B145" s="434">
        <v>71005</v>
      </c>
      <c r="C145" s="435" t="s">
        <v>118</v>
      </c>
      <c r="D145" s="436"/>
      <c r="E145" s="1110">
        <f>SUM(E148,E146)</f>
        <v>263</v>
      </c>
      <c r="F145" s="1110">
        <f>SUM(F148,F146)</f>
        <v>263</v>
      </c>
      <c r="G145" s="1107">
        <f>SUM(G148,G146)</f>
        <v>435</v>
      </c>
      <c r="H145" s="1108">
        <f t="shared" si="10"/>
        <v>1.6539923954372624</v>
      </c>
    </row>
    <row r="146" spans="1:8">
      <c r="A146" s="1589"/>
      <c r="B146" s="4707" t="s">
        <v>21</v>
      </c>
      <c r="C146" s="4708"/>
      <c r="D146" s="1452"/>
      <c r="E146" s="1412">
        <f>SUM(E147:E147)</f>
        <v>263</v>
      </c>
      <c r="F146" s="1412">
        <f>SUM(F147:F147)</f>
        <v>263</v>
      </c>
      <c r="G146" s="285">
        <f>SUM(G147:G147)</f>
        <v>435</v>
      </c>
      <c r="H146" s="1384">
        <f t="shared" si="10"/>
        <v>1.6539923954372624</v>
      </c>
    </row>
    <row r="147" spans="1:8" ht="38.25">
      <c r="A147" s="1589"/>
      <c r="B147" s="1598"/>
      <c r="C147" s="1595" t="s">
        <v>59</v>
      </c>
      <c r="D147" s="1403">
        <v>2360</v>
      </c>
      <c r="E147" s="1391">
        <v>263</v>
      </c>
      <c r="F147" s="1387">
        <v>263</v>
      </c>
      <c r="G147" s="1388">
        <v>435</v>
      </c>
      <c r="H147" s="1389">
        <f t="shared" ref="H147" si="13">G147/F147</f>
        <v>1.6539923954372624</v>
      </c>
    </row>
    <row r="148" spans="1:8" ht="15.75" thickBot="1">
      <c r="A148" s="1589"/>
      <c r="B148" s="4709" t="s">
        <v>26</v>
      </c>
      <c r="C148" s="4710"/>
      <c r="D148" s="441"/>
      <c r="E148" s="442">
        <v>0</v>
      </c>
      <c r="F148" s="1596">
        <v>0</v>
      </c>
      <c r="G148" s="1597">
        <v>0</v>
      </c>
      <c r="H148" s="1408"/>
    </row>
    <row r="149" spans="1:8" ht="15.75" thickBot="1">
      <c r="A149" s="1589"/>
      <c r="B149" s="1599">
        <v>71012</v>
      </c>
      <c r="C149" s="1375" t="s">
        <v>119</v>
      </c>
      <c r="D149" s="1376"/>
      <c r="E149" s="1431">
        <f>SUM(E150,E155)</f>
        <v>356120</v>
      </c>
      <c r="F149" s="1432">
        <f>SUM(F150,F155)</f>
        <v>368421</v>
      </c>
      <c r="G149" s="383">
        <f>SUM(G150,G155)</f>
        <v>367390.32</v>
      </c>
      <c r="H149" s="1108">
        <f t="shared" si="10"/>
        <v>0.99720243960034849</v>
      </c>
    </row>
    <row r="150" spans="1:8">
      <c r="A150" s="1589"/>
      <c r="B150" s="4682" t="s">
        <v>21</v>
      </c>
      <c r="C150" s="4711"/>
      <c r="D150" s="1600"/>
      <c r="E150" s="1601">
        <f>SUM(E151:E154)</f>
        <v>356120</v>
      </c>
      <c r="F150" s="1412">
        <f>SUM(F151:F154)</f>
        <v>368421</v>
      </c>
      <c r="G150" s="285">
        <f>SUM(G151:G154)</f>
        <v>367390.32</v>
      </c>
      <c r="H150" s="1384">
        <f t="shared" si="10"/>
        <v>0.99720243960034849</v>
      </c>
    </row>
    <row r="151" spans="1:8">
      <c r="A151" s="1589"/>
      <c r="B151" s="1587"/>
      <c r="C151" s="4697" t="s">
        <v>120</v>
      </c>
      <c r="D151" s="1385" t="s">
        <v>38</v>
      </c>
      <c r="E151" s="1391">
        <v>9000</v>
      </c>
      <c r="F151" s="1387">
        <v>9000</v>
      </c>
      <c r="G151" s="1388">
        <v>4759.7</v>
      </c>
      <c r="H151" s="1389">
        <f t="shared" si="10"/>
        <v>0.52885555555555552</v>
      </c>
    </row>
    <row r="152" spans="1:8">
      <c r="A152" s="1589"/>
      <c r="B152" s="1588"/>
      <c r="C152" s="4698"/>
      <c r="D152" s="1390" t="s">
        <v>32</v>
      </c>
      <c r="E152" s="1391">
        <v>0</v>
      </c>
      <c r="F152" s="1387">
        <v>0</v>
      </c>
      <c r="G152" s="1388">
        <v>3221.62</v>
      </c>
      <c r="H152" s="1389"/>
    </row>
    <row r="153" spans="1:8" ht="15.75" thickBot="1">
      <c r="A153" s="15"/>
      <c r="B153" s="1602"/>
      <c r="C153" s="4699"/>
      <c r="D153" s="246" t="s">
        <v>25</v>
      </c>
      <c r="E153" s="893">
        <v>120</v>
      </c>
      <c r="F153" s="894">
        <v>120</v>
      </c>
      <c r="G153" s="895">
        <v>108</v>
      </c>
      <c r="H153" s="896">
        <f t="shared" si="10"/>
        <v>0.9</v>
      </c>
    </row>
    <row r="154" spans="1:8" s="16" customFormat="1" ht="38.25">
      <c r="A154" s="1593"/>
      <c r="B154" s="1604"/>
      <c r="C154" s="1605" t="s">
        <v>46</v>
      </c>
      <c r="D154" s="1606" t="s">
        <v>121</v>
      </c>
      <c r="E154" s="1607">
        <v>347000</v>
      </c>
      <c r="F154" s="1577">
        <v>359301</v>
      </c>
      <c r="G154" s="1578">
        <v>359301</v>
      </c>
      <c r="H154" s="1579">
        <f t="shared" si="10"/>
        <v>1</v>
      </c>
    </row>
    <row r="155" spans="1:8" ht="15.75" thickBot="1">
      <c r="A155" s="15"/>
      <c r="B155" s="4700" t="s">
        <v>26</v>
      </c>
      <c r="C155" s="4701"/>
      <c r="D155" s="1608"/>
      <c r="E155" s="1406">
        <v>0</v>
      </c>
      <c r="F155" s="1406">
        <v>0</v>
      </c>
      <c r="G155" s="1407">
        <v>0</v>
      </c>
      <c r="H155" s="1609"/>
    </row>
    <row r="156" spans="1:8" s="1" customFormat="1" ht="15.75" thickBot="1">
      <c r="A156" s="1459">
        <v>720</v>
      </c>
      <c r="B156" s="734"/>
      <c r="C156" s="1610" t="s">
        <v>122</v>
      </c>
      <c r="D156" s="1611"/>
      <c r="E156" s="735">
        <f>SUM(E157,)</f>
        <v>4391100</v>
      </c>
      <c r="F156" s="735">
        <f>SUM(F157,)</f>
        <v>5391103</v>
      </c>
      <c r="G156" s="1443">
        <f>SUM(G157,)</f>
        <v>2407672.56</v>
      </c>
      <c r="H156" s="736">
        <f>G156/F156</f>
        <v>0.44660110556225696</v>
      </c>
    </row>
    <row r="157" spans="1:8" ht="15.75" thickBot="1">
      <c r="A157" s="4324"/>
      <c r="B157" s="4325">
        <v>72095</v>
      </c>
      <c r="C157" s="4326" t="s">
        <v>44</v>
      </c>
      <c r="D157" s="4327"/>
      <c r="E157" s="4328">
        <f>SUM(E158,E167)</f>
        <v>4391100</v>
      </c>
      <c r="F157" s="4328">
        <f>SUM(F158,F167)</f>
        <v>5391103</v>
      </c>
      <c r="G157" s="4329">
        <f>SUM(G158,G167)</f>
        <v>2407672.56</v>
      </c>
      <c r="H157" s="4330">
        <f>G157/F157</f>
        <v>0.44660110556225696</v>
      </c>
    </row>
    <row r="158" spans="1:8" s="12" customFormat="1">
      <c r="A158" s="673"/>
      <c r="B158" s="4705" t="s">
        <v>21</v>
      </c>
      <c r="C158" s="4706"/>
      <c r="D158" s="4331"/>
      <c r="E158" s="4332">
        <f>SUM(E159:E166)</f>
        <v>4391100</v>
      </c>
      <c r="F158" s="4332">
        <f>SUM(F159:F166)</f>
        <v>5057069</v>
      </c>
      <c r="G158" s="4333">
        <f>SUM(G159:G166)</f>
        <v>2073639.4000000001</v>
      </c>
      <c r="H158" s="4323">
        <f>G158/F158</f>
        <v>0.41004767781495571</v>
      </c>
    </row>
    <row r="159" spans="1:8" ht="43.5" customHeight="1">
      <c r="A159" s="673"/>
      <c r="B159" s="4704"/>
      <c r="C159" s="4334" t="s">
        <v>123</v>
      </c>
      <c r="D159" s="4335" t="s">
        <v>23</v>
      </c>
      <c r="E159" s="4336">
        <v>0</v>
      </c>
      <c r="F159" s="4336">
        <v>0</v>
      </c>
      <c r="G159" s="4321">
        <v>111873.78</v>
      </c>
      <c r="H159" s="4337"/>
    </row>
    <row r="160" spans="1:8" ht="51">
      <c r="A160" s="673"/>
      <c r="B160" s="4702"/>
      <c r="C160" s="4334" t="s">
        <v>1108</v>
      </c>
      <c r="D160" s="4335" t="s">
        <v>24</v>
      </c>
      <c r="E160" s="4336">
        <v>0</v>
      </c>
      <c r="F160" s="4336">
        <v>0</v>
      </c>
      <c r="G160" s="4321">
        <v>485332.89</v>
      </c>
      <c r="H160" s="4337"/>
    </row>
    <row r="161" spans="1:8" ht="55.5" customHeight="1">
      <c r="A161" s="673"/>
      <c r="B161" s="4702"/>
      <c r="C161" s="4334" t="s">
        <v>1109</v>
      </c>
      <c r="D161" s="4740" t="s">
        <v>41</v>
      </c>
      <c r="E161" s="4336">
        <v>0</v>
      </c>
      <c r="F161" s="4336">
        <v>0</v>
      </c>
      <c r="G161" s="4321">
        <v>1009.32</v>
      </c>
      <c r="H161" s="4337"/>
    </row>
    <row r="162" spans="1:8" ht="42" customHeight="1">
      <c r="A162" s="673"/>
      <c r="B162" s="4702"/>
      <c r="C162" s="4334" t="s">
        <v>306</v>
      </c>
      <c r="D162" s="4741"/>
      <c r="E162" s="4336">
        <v>0</v>
      </c>
      <c r="F162" s="4336">
        <v>0</v>
      </c>
      <c r="G162" s="4321">
        <v>687517.26</v>
      </c>
      <c r="H162" s="4337"/>
    </row>
    <row r="163" spans="1:8" ht="53.25" customHeight="1">
      <c r="A163" s="673"/>
      <c r="B163" s="4702"/>
      <c r="C163" s="4338" t="s">
        <v>124</v>
      </c>
      <c r="D163" s="4800" t="s">
        <v>25</v>
      </c>
      <c r="E163" s="4339">
        <v>4391100</v>
      </c>
      <c r="F163" s="4320">
        <v>4391100</v>
      </c>
      <c r="G163" s="4321">
        <v>0</v>
      </c>
      <c r="H163" s="4340">
        <f t="shared" ref="H163:H166" si="14">G163/F163</f>
        <v>0</v>
      </c>
    </row>
    <row r="164" spans="1:8">
      <c r="A164" s="673"/>
      <c r="B164" s="4702"/>
      <c r="C164" s="4318" t="s">
        <v>995</v>
      </c>
      <c r="D164" s="4801"/>
      <c r="E164" s="4339">
        <v>0</v>
      </c>
      <c r="F164" s="4320">
        <v>0</v>
      </c>
      <c r="G164" s="4321">
        <v>121939.31</v>
      </c>
      <c r="H164" s="4340"/>
    </row>
    <row r="165" spans="1:8" ht="43.5" customHeight="1">
      <c r="A165" s="673"/>
      <c r="B165" s="4702"/>
      <c r="C165" s="4318" t="s">
        <v>992</v>
      </c>
      <c r="D165" s="4797" t="s">
        <v>200</v>
      </c>
      <c r="E165" s="4339">
        <v>0</v>
      </c>
      <c r="F165" s="4320">
        <v>269329</v>
      </c>
      <c r="G165" s="4321">
        <v>269328</v>
      </c>
      <c r="H165" s="4340">
        <f t="shared" si="14"/>
        <v>0.99999628706897514</v>
      </c>
    </row>
    <row r="166" spans="1:8" ht="53.25" customHeight="1" thickBot="1">
      <c r="A166" s="860"/>
      <c r="B166" s="4703"/>
      <c r="C166" s="234" t="s">
        <v>993</v>
      </c>
      <c r="D166" s="4798"/>
      <c r="E166" s="672">
        <v>0</v>
      </c>
      <c r="F166" s="248">
        <v>396640</v>
      </c>
      <c r="G166" s="1613">
        <v>396638.84</v>
      </c>
      <c r="H166" s="896">
        <f t="shared" si="14"/>
        <v>0.99999707543364269</v>
      </c>
    </row>
    <row r="167" spans="1:8" s="1" customFormat="1">
      <c r="A167" s="4324"/>
      <c r="B167" s="4742" t="s">
        <v>67</v>
      </c>
      <c r="C167" s="4743"/>
      <c r="D167" s="4341"/>
      <c r="E167" s="4342">
        <f>SUM(E168:E169)</f>
        <v>0</v>
      </c>
      <c r="F167" s="4342">
        <f>SUM(F168:F169)</f>
        <v>334034</v>
      </c>
      <c r="G167" s="4343">
        <f>SUM(G168:G169)</f>
        <v>334033.16000000003</v>
      </c>
      <c r="H167" s="4344">
        <f>G167/F167</f>
        <v>0.99999748528592902</v>
      </c>
    </row>
    <row r="168" spans="1:8" ht="39.75" customHeight="1">
      <c r="A168" s="673"/>
      <c r="B168" s="4702"/>
      <c r="C168" s="4318" t="s">
        <v>992</v>
      </c>
      <c r="D168" s="4799" t="s">
        <v>101</v>
      </c>
      <c r="E168" s="4319">
        <v>0</v>
      </c>
      <c r="F168" s="4320">
        <v>307333</v>
      </c>
      <c r="G168" s="4321">
        <v>307332.32</v>
      </c>
      <c r="H168" s="4322">
        <f>G168/F168</f>
        <v>0.99999778741625533</v>
      </c>
    </row>
    <row r="169" spans="1:8" ht="53.25" customHeight="1" thickBot="1">
      <c r="A169" s="860"/>
      <c r="B169" s="4703"/>
      <c r="C169" s="234" t="s">
        <v>993</v>
      </c>
      <c r="D169" s="4798"/>
      <c r="E169" s="1612">
        <v>0</v>
      </c>
      <c r="F169" s="248">
        <v>26701</v>
      </c>
      <c r="G169" s="1613">
        <v>26700.84</v>
      </c>
      <c r="H169" s="250">
        <f>G169/F169</f>
        <v>0.99999400771506686</v>
      </c>
    </row>
    <row r="170" spans="1:8" ht="15.75" thickBot="1">
      <c r="A170" s="289">
        <v>730</v>
      </c>
      <c r="B170" s="290"/>
      <c r="C170" s="291" t="s">
        <v>125</v>
      </c>
      <c r="D170" s="292"/>
      <c r="E170" s="293">
        <f>SUM(E171,E176)</f>
        <v>0</v>
      </c>
      <c r="F170" s="293">
        <f>SUM(F171,F176)</f>
        <v>0</v>
      </c>
      <c r="G170" s="294">
        <f>SUM(G171,G176)</f>
        <v>97821.97</v>
      </c>
      <c r="H170" s="241"/>
    </row>
    <row r="171" spans="1:8" ht="15.75" thickBot="1">
      <c r="A171" s="145"/>
      <c r="B171" s="270">
        <v>73016</v>
      </c>
      <c r="C171" s="271" t="s">
        <v>126</v>
      </c>
      <c r="D171" s="272"/>
      <c r="E171" s="273">
        <f>SUM(E172,E175)</f>
        <v>0</v>
      </c>
      <c r="F171" s="273">
        <f t="shared" ref="F171:G171" si="15">SUM(F172,F175)</f>
        <v>0</v>
      </c>
      <c r="G171" s="274">
        <f t="shared" si="15"/>
        <v>2521</v>
      </c>
      <c r="H171" s="237"/>
    </row>
    <row r="172" spans="1:8">
      <c r="A172" s="146"/>
      <c r="B172" s="4744" t="s">
        <v>21</v>
      </c>
      <c r="C172" s="4745"/>
      <c r="D172" s="275"/>
      <c r="E172" s="196">
        <f>SUM(E173:E174)</f>
        <v>0</v>
      </c>
      <c r="F172" s="196">
        <f>SUM(F173:F174)</f>
        <v>0</v>
      </c>
      <c r="G172" s="276">
        <f>SUM(G173:G174)</f>
        <v>2521</v>
      </c>
      <c r="H172" s="238"/>
    </row>
    <row r="173" spans="1:8" ht="18.75" customHeight="1">
      <c r="A173" s="146"/>
      <c r="B173" s="44"/>
      <c r="C173" s="4516" t="s">
        <v>1110</v>
      </c>
      <c r="D173" s="230" t="s">
        <v>41</v>
      </c>
      <c r="E173" s="268">
        <v>0</v>
      </c>
      <c r="F173" s="227">
        <v>0</v>
      </c>
      <c r="G173" s="228">
        <v>211</v>
      </c>
      <c r="H173" s="4"/>
    </row>
    <row r="174" spans="1:8" ht="18" customHeight="1">
      <c r="A174" s="146"/>
      <c r="B174" s="44"/>
      <c r="C174" s="4517"/>
      <c r="D174" s="230" t="s">
        <v>45</v>
      </c>
      <c r="E174" s="268">
        <v>0</v>
      </c>
      <c r="F174" s="227">
        <v>0</v>
      </c>
      <c r="G174" s="228">
        <v>2310</v>
      </c>
      <c r="H174" s="269"/>
    </row>
    <row r="175" spans="1:8" ht="15.75" thickBot="1">
      <c r="A175" s="147"/>
      <c r="B175" s="4650" t="s">
        <v>26</v>
      </c>
      <c r="C175" s="4651"/>
      <c r="D175" s="277"/>
      <c r="E175" s="278">
        <v>0</v>
      </c>
      <c r="F175" s="278">
        <v>0</v>
      </c>
      <c r="G175" s="279">
        <v>0</v>
      </c>
      <c r="H175" s="280"/>
    </row>
    <row r="176" spans="1:8" ht="15.75" thickBot="1">
      <c r="A176" s="4644"/>
      <c r="B176" s="270">
        <v>73095</v>
      </c>
      <c r="C176" s="271" t="s">
        <v>44</v>
      </c>
      <c r="D176" s="272"/>
      <c r="E176" s="281">
        <f>SUM(E177,E180)</f>
        <v>0</v>
      </c>
      <c r="F176" s="281">
        <f>SUM(F177,F180)</f>
        <v>0</v>
      </c>
      <c r="G176" s="282">
        <f>SUM(G177,G180)</f>
        <v>95300.97</v>
      </c>
      <c r="H176" s="237"/>
    </row>
    <row r="177" spans="1:8" ht="14.25" customHeight="1">
      <c r="A177" s="4644"/>
      <c r="B177" s="4646" t="s">
        <v>21</v>
      </c>
      <c r="C177" s="4647"/>
      <c r="D177" s="283"/>
      <c r="E177" s="284">
        <f>SUM(E178:E179)</f>
        <v>0</v>
      </c>
      <c r="F177" s="284">
        <f>SUM(F178:F179)</f>
        <v>0</v>
      </c>
      <c r="G177" s="285">
        <f>SUM(G178:G179)</f>
        <v>95300.97</v>
      </c>
      <c r="H177" s="238"/>
    </row>
    <row r="178" spans="1:8" ht="63.75">
      <c r="A178" s="4644"/>
      <c r="B178" s="4648"/>
      <c r="C178" s="242" t="s">
        <v>129</v>
      </c>
      <c r="D178" s="243" t="s">
        <v>130</v>
      </c>
      <c r="E178" s="236">
        <v>0</v>
      </c>
      <c r="F178" s="227">
        <v>0</v>
      </c>
      <c r="G178" s="228">
        <v>94878.03</v>
      </c>
      <c r="H178" s="229"/>
    </row>
    <row r="179" spans="1:8" ht="27" customHeight="1">
      <c r="A179" s="4644"/>
      <c r="B179" s="4649"/>
      <c r="C179" s="286" t="s">
        <v>131</v>
      </c>
      <c r="D179" s="287">
        <v>2950</v>
      </c>
      <c r="E179" s="236">
        <v>0</v>
      </c>
      <c r="F179" s="227">
        <v>0</v>
      </c>
      <c r="G179" s="228">
        <v>422.94</v>
      </c>
      <c r="H179" s="269"/>
    </row>
    <row r="180" spans="1:8" ht="15.75" thickBot="1">
      <c r="A180" s="4645"/>
      <c r="B180" s="4650" t="s">
        <v>26</v>
      </c>
      <c r="C180" s="4651"/>
      <c r="D180" s="288"/>
      <c r="E180" s="278">
        <v>0</v>
      </c>
      <c r="F180" s="278">
        <v>0</v>
      </c>
      <c r="G180" s="279">
        <v>0</v>
      </c>
      <c r="H180" s="280"/>
    </row>
    <row r="181" spans="1:8" ht="15.75" thickBot="1">
      <c r="A181" s="4345">
        <v>750</v>
      </c>
      <c r="B181" s="4346"/>
      <c r="C181" s="4347" t="s">
        <v>132</v>
      </c>
      <c r="D181" s="4348"/>
      <c r="E181" s="4349">
        <f>SUM(E182,E187,E191,E212,E217,E224,E228)</f>
        <v>7131081</v>
      </c>
      <c r="F181" s="4349">
        <f>SUM(F182,F187,F191,F212,F217,F224,F228)</f>
        <v>9562271</v>
      </c>
      <c r="G181" s="4350">
        <f>SUM(G182,G187,G191,G212,G217,G224,G228)</f>
        <v>8491384.8399999999</v>
      </c>
      <c r="H181" s="4351">
        <f t="shared" ref="H181:H215" si="16">G181/F181</f>
        <v>0.88800922291367812</v>
      </c>
    </row>
    <row r="182" spans="1:8" ht="15.75" thickBot="1">
      <c r="A182" s="4352"/>
      <c r="B182" s="4325">
        <v>75011</v>
      </c>
      <c r="C182" s="4353" t="s">
        <v>133</v>
      </c>
      <c r="D182" s="4327"/>
      <c r="E182" s="4328">
        <f t="shared" ref="E182:G182" si="17">SUM(E183,E186)</f>
        <v>276684</v>
      </c>
      <c r="F182" s="4328">
        <f t="shared" si="17"/>
        <v>289304</v>
      </c>
      <c r="G182" s="4329">
        <f t="shared" si="17"/>
        <v>289130.21999999997</v>
      </c>
      <c r="H182" s="4330">
        <f t="shared" si="16"/>
        <v>0.99939931698144502</v>
      </c>
    </row>
    <row r="183" spans="1:8">
      <c r="A183" s="1111"/>
      <c r="B183" s="4518" t="s">
        <v>21</v>
      </c>
      <c r="C183" s="4519"/>
      <c r="D183" s="4354"/>
      <c r="E183" s="4355">
        <f>SUM(E184:E185)</f>
        <v>276684</v>
      </c>
      <c r="F183" s="4355">
        <f>SUM(F184:F185)</f>
        <v>289304</v>
      </c>
      <c r="G183" s="4356">
        <f>SUM(G184:G185)</f>
        <v>289130.21999999997</v>
      </c>
      <c r="H183" s="4323">
        <f t="shared" si="16"/>
        <v>0.99939931698144502</v>
      </c>
    </row>
    <row r="184" spans="1:8" ht="38.25">
      <c r="A184" s="1111"/>
      <c r="B184" s="4364"/>
      <c r="C184" s="4358" t="s">
        <v>134</v>
      </c>
      <c r="D184" s="4359">
        <v>2210</v>
      </c>
      <c r="E184" s="4360">
        <v>276000</v>
      </c>
      <c r="F184" s="4361">
        <v>288620</v>
      </c>
      <c r="G184" s="4362">
        <v>288620</v>
      </c>
      <c r="H184" s="4340">
        <f t="shared" si="16"/>
        <v>1</v>
      </c>
    </row>
    <row r="185" spans="1:8" ht="38.25">
      <c r="A185" s="11"/>
      <c r="B185" s="4363"/>
      <c r="C185" s="286" t="s">
        <v>59</v>
      </c>
      <c r="D185" s="705">
        <v>2360</v>
      </c>
      <c r="E185" s="4339">
        <v>684</v>
      </c>
      <c r="F185" s="4320">
        <v>684</v>
      </c>
      <c r="G185" s="4321">
        <v>510.22</v>
      </c>
      <c r="H185" s="4322">
        <f t="shared" si="16"/>
        <v>0.7459356725146199</v>
      </c>
    </row>
    <row r="186" spans="1:8" ht="14.25" customHeight="1" thickBot="1">
      <c r="A186" s="11"/>
      <c r="B186" s="4520" t="s">
        <v>26</v>
      </c>
      <c r="C186" s="4521"/>
      <c r="D186" s="1405"/>
      <c r="E186" s="1406">
        <v>0</v>
      </c>
      <c r="F186" s="1406">
        <v>0</v>
      </c>
      <c r="G186" s="4357">
        <v>0</v>
      </c>
      <c r="H186" s="1419"/>
    </row>
    <row r="187" spans="1:8" ht="15.75" thickBot="1">
      <c r="A187" s="11"/>
      <c r="B187" s="4325">
        <v>75017</v>
      </c>
      <c r="C187" s="4353" t="s">
        <v>406</v>
      </c>
      <c r="D187" s="4327"/>
      <c r="E187" s="4328">
        <f>SUM(E188,E190)</f>
        <v>0</v>
      </c>
      <c r="F187" s="4328">
        <f>SUM(F188,F190)</f>
        <v>0</v>
      </c>
      <c r="G187" s="4329">
        <f>SUM(G188,G190)</f>
        <v>1468.28</v>
      </c>
      <c r="H187" s="4330"/>
    </row>
    <row r="188" spans="1:8">
      <c r="A188" s="11"/>
      <c r="B188" s="4518" t="s">
        <v>21</v>
      </c>
      <c r="C188" s="4519"/>
      <c r="D188" s="4354"/>
      <c r="E188" s="4355">
        <f>SUM(E189:E189)</f>
        <v>0</v>
      </c>
      <c r="F188" s="4355">
        <f>SUM(F189:F189)</f>
        <v>0</v>
      </c>
      <c r="G188" s="4356">
        <f>SUM(G189:G189)</f>
        <v>1468.28</v>
      </c>
      <c r="H188" s="4323"/>
    </row>
    <row r="189" spans="1:8" ht="27.75" customHeight="1">
      <c r="A189" s="11"/>
      <c r="B189" s="4364"/>
      <c r="C189" s="4358" t="s">
        <v>31</v>
      </c>
      <c r="D189" s="4368" t="s">
        <v>45</v>
      </c>
      <c r="E189" s="4360">
        <v>0</v>
      </c>
      <c r="F189" s="4361">
        <v>0</v>
      </c>
      <c r="G189" s="4362">
        <v>1468.28</v>
      </c>
      <c r="H189" s="4340"/>
    </row>
    <row r="190" spans="1:8" ht="15.75" thickBot="1">
      <c r="A190" s="11"/>
      <c r="B190" s="4520" t="s">
        <v>26</v>
      </c>
      <c r="C190" s="4521"/>
      <c r="D190" s="1405"/>
      <c r="E190" s="1406">
        <v>0</v>
      </c>
      <c r="F190" s="1406">
        <v>0</v>
      </c>
      <c r="G190" s="4357">
        <v>0</v>
      </c>
      <c r="H190" s="1419"/>
    </row>
    <row r="191" spans="1:8" ht="15.75" thickBot="1">
      <c r="A191" s="11"/>
      <c r="B191" s="1083">
        <v>75018</v>
      </c>
      <c r="C191" s="940" t="s">
        <v>135</v>
      </c>
      <c r="D191" s="1084"/>
      <c r="E191" s="53">
        <f>SUM(E192,E208)</f>
        <v>250060</v>
      </c>
      <c r="F191" s="53">
        <f>SUM(F192,F208)</f>
        <v>250106</v>
      </c>
      <c r="G191" s="1085">
        <f>SUM(G192,G208)</f>
        <v>543464.56999999995</v>
      </c>
      <c r="H191" s="4369">
        <f t="shared" si="16"/>
        <v>2.1729369547311936</v>
      </c>
    </row>
    <row r="192" spans="1:8">
      <c r="A192" s="11"/>
      <c r="B192" s="4658" t="s">
        <v>21</v>
      </c>
      <c r="C192" s="4659"/>
      <c r="D192" s="4370"/>
      <c r="E192" s="4371">
        <f>SUM(E193:E207)</f>
        <v>245461</v>
      </c>
      <c r="F192" s="4371">
        <f>SUM(F193:F207)</f>
        <v>246443</v>
      </c>
      <c r="G192" s="4372">
        <f>SUM(G193:G207)</f>
        <v>537993.06999999995</v>
      </c>
      <c r="H192" s="913">
        <f t="shared" si="16"/>
        <v>2.1830324659251832</v>
      </c>
    </row>
    <row r="193" spans="1:8" ht="66" customHeight="1">
      <c r="A193" s="11"/>
      <c r="B193" s="4373"/>
      <c r="C193" s="4374" t="s">
        <v>541</v>
      </c>
      <c r="D193" s="4375">
        <v>2057</v>
      </c>
      <c r="E193" s="4376">
        <v>4451</v>
      </c>
      <c r="F193" s="4377">
        <v>5240</v>
      </c>
      <c r="G193" s="4378">
        <v>4975.63</v>
      </c>
      <c r="H193" s="4379">
        <f t="shared" si="16"/>
        <v>0.94954770992366411</v>
      </c>
    </row>
    <row r="194" spans="1:8" ht="64.5" customHeight="1">
      <c r="A194" s="11"/>
      <c r="B194" s="10"/>
      <c r="C194" s="4380" t="s">
        <v>550</v>
      </c>
      <c r="D194" s="4381">
        <v>2059</v>
      </c>
      <c r="E194" s="4382">
        <v>830</v>
      </c>
      <c r="F194" s="4383">
        <v>977</v>
      </c>
      <c r="G194" s="4384">
        <v>928.05</v>
      </c>
      <c r="H194" s="4340">
        <f t="shared" si="16"/>
        <v>0.94989764585465708</v>
      </c>
    </row>
    <row r="195" spans="1:8">
      <c r="A195" s="11"/>
      <c r="B195" s="65"/>
      <c r="C195" s="4660" t="s">
        <v>31</v>
      </c>
      <c r="D195" s="4385" t="s">
        <v>87</v>
      </c>
      <c r="E195" s="4386">
        <v>0</v>
      </c>
      <c r="F195" s="4387">
        <v>0</v>
      </c>
      <c r="G195" s="4388">
        <v>35759.39</v>
      </c>
      <c r="H195" s="4389"/>
    </row>
    <row r="196" spans="1:8">
      <c r="A196" s="11"/>
      <c r="B196" s="65"/>
      <c r="C196" s="4660"/>
      <c r="D196" s="4390" t="s">
        <v>96</v>
      </c>
      <c r="E196" s="4386">
        <v>0</v>
      </c>
      <c r="F196" s="4387">
        <v>0</v>
      </c>
      <c r="G196" s="4388">
        <v>147442.34</v>
      </c>
      <c r="H196" s="4389"/>
    </row>
    <row r="197" spans="1:8">
      <c r="A197" s="11"/>
      <c r="B197" s="65"/>
      <c r="C197" s="4660"/>
      <c r="D197" s="4368" t="s">
        <v>23</v>
      </c>
      <c r="E197" s="4391">
        <v>100000</v>
      </c>
      <c r="F197" s="4361">
        <v>100000</v>
      </c>
      <c r="G197" s="4392">
        <v>128794.01</v>
      </c>
      <c r="H197" s="4340">
        <f t="shared" si="16"/>
        <v>1.2879400999999999</v>
      </c>
    </row>
    <row r="198" spans="1:8">
      <c r="A198" s="11"/>
      <c r="B198" s="65"/>
      <c r="C198" s="4660"/>
      <c r="D198" s="4393" t="s">
        <v>24</v>
      </c>
      <c r="E198" s="4386">
        <v>40000</v>
      </c>
      <c r="F198" s="4387">
        <v>40000</v>
      </c>
      <c r="G198" s="4388">
        <v>56861.87</v>
      </c>
      <c r="H198" s="4379">
        <f t="shared" si="16"/>
        <v>1.4215467500000001</v>
      </c>
    </row>
    <row r="199" spans="1:8">
      <c r="A199" s="11"/>
      <c r="B199" s="65"/>
      <c r="C199" s="4660"/>
      <c r="D199" s="4393" t="s">
        <v>41</v>
      </c>
      <c r="E199" s="4386">
        <v>0</v>
      </c>
      <c r="F199" s="4387">
        <v>0</v>
      </c>
      <c r="G199" s="4388">
        <v>468.75</v>
      </c>
      <c r="H199" s="4394"/>
    </row>
    <row r="200" spans="1:8">
      <c r="A200" s="11"/>
      <c r="B200" s="65"/>
      <c r="C200" s="4660"/>
      <c r="D200" s="4395" t="s">
        <v>45</v>
      </c>
      <c r="E200" s="4391">
        <v>80000</v>
      </c>
      <c r="F200" s="4361">
        <v>80000</v>
      </c>
      <c r="G200" s="4392">
        <v>79720.59</v>
      </c>
      <c r="H200" s="4340">
        <f t="shared" si="16"/>
        <v>0.99650737499999997</v>
      </c>
    </row>
    <row r="201" spans="1:8">
      <c r="A201" s="11"/>
      <c r="B201" s="65"/>
      <c r="C201" s="4660"/>
      <c r="D201" s="4395" t="s">
        <v>241</v>
      </c>
      <c r="E201" s="4391">
        <v>0</v>
      </c>
      <c r="F201" s="4361">
        <v>46</v>
      </c>
      <c r="G201" s="4392">
        <v>45.97</v>
      </c>
      <c r="H201" s="4340"/>
    </row>
    <row r="202" spans="1:8">
      <c r="A202" s="11"/>
      <c r="B202" s="65"/>
      <c r="C202" s="4660"/>
      <c r="D202" s="4395" t="s">
        <v>128</v>
      </c>
      <c r="E202" s="4391">
        <v>0</v>
      </c>
      <c r="F202" s="4361">
        <v>0</v>
      </c>
      <c r="G202" s="4392">
        <v>8.1199999999999992</v>
      </c>
      <c r="H202" s="4340"/>
    </row>
    <row r="203" spans="1:8">
      <c r="A203" s="11"/>
      <c r="B203" s="65"/>
      <c r="C203" s="4660"/>
      <c r="D203" s="4393" t="s">
        <v>32</v>
      </c>
      <c r="E203" s="4386">
        <v>0</v>
      </c>
      <c r="F203" s="4387">
        <v>0</v>
      </c>
      <c r="G203" s="4388">
        <v>20312.79</v>
      </c>
      <c r="H203" s="4394"/>
    </row>
    <row r="204" spans="1:8">
      <c r="A204" s="11"/>
      <c r="B204" s="4396"/>
      <c r="C204" s="4661"/>
      <c r="D204" s="4393" t="s">
        <v>25</v>
      </c>
      <c r="E204" s="4386">
        <v>20000</v>
      </c>
      <c r="F204" s="4387">
        <v>20000</v>
      </c>
      <c r="G204" s="4388">
        <v>47798.61</v>
      </c>
      <c r="H204" s="4379">
        <f t="shared" si="16"/>
        <v>2.3899305000000002</v>
      </c>
    </row>
    <row r="205" spans="1:8" ht="30.75" customHeight="1">
      <c r="A205" s="11"/>
      <c r="B205" s="8"/>
      <c r="C205" s="4402" t="s">
        <v>1028</v>
      </c>
      <c r="D205" s="4403" t="s">
        <v>25</v>
      </c>
      <c r="E205" s="4386">
        <v>180</v>
      </c>
      <c r="F205" s="4387">
        <v>180</v>
      </c>
      <c r="G205" s="4388">
        <v>273</v>
      </c>
      <c r="H205" s="4379">
        <f t="shared" si="16"/>
        <v>1.5166666666666666</v>
      </c>
    </row>
    <row r="206" spans="1:8" ht="18" customHeight="1">
      <c r="A206" s="11"/>
      <c r="B206" s="8"/>
      <c r="C206" s="4660" t="s">
        <v>1027</v>
      </c>
      <c r="D206" s="4393" t="s">
        <v>24</v>
      </c>
      <c r="E206" s="4398">
        <v>0</v>
      </c>
      <c r="F206" s="4399">
        <v>0</v>
      </c>
      <c r="G206" s="4400">
        <v>5442.66</v>
      </c>
      <c r="H206" s="4401"/>
    </row>
    <row r="207" spans="1:8" ht="15.75" thickBot="1">
      <c r="A207" s="13"/>
      <c r="B207" s="9"/>
      <c r="C207" s="4603"/>
      <c r="D207" s="1524" t="s">
        <v>25</v>
      </c>
      <c r="E207" s="4397">
        <v>0</v>
      </c>
      <c r="F207" s="1526">
        <v>0</v>
      </c>
      <c r="G207" s="1622">
        <v>9161.2900000000009</v>
      </c>
      <c r="H207" s="1528"/>
    </row>
    <row r="208" spans="1:8">
      <c r="A208" s="11"/>
      <c r="B208" s="4730" t="s">
        <v>67</v>
      </c>
      <c r="C208" s="4519"/>
      <c r="D208" s="4354"/>
      <c r="E208" s="4365">
        <f>SUM(E209:E211)</f>
        <v>4599</v>
      </c>
      <c r="F208" s="4365">
        <f>SUM(F209:F211)</f>
        <v>3663</v>
      </c>
      <c r="G208" s="4366">
        <f>SUM(G209:G211)</f>
        <v>5471.5</v>
      </c>
      <c r="H208" s="4367">
        <f t="shared" si="16"/>
        <v>1.4937209937209937</v>
      </c>
    </row>
    <row r="209" spans="1:9" ht="25.5">
      <c r="A209" s="11"/>
      <c r="B209" s="4802"/>
      <c r="C209" s="1402" t="s">
        <v>31</v>
      </c>
      <c r="D209" s="1385" t="s">
        <v>28</v>
      </c>
      <c r="E209" s="1626">
        <v>0</v>
      </c>
      <c r="F209" s="1387">
        <v>0</v>
      </c>
      <c r="G209" s="1621">
        <v>5471.5</v>
      </c>
      <c r="H209" s="1620"/>
    </row>
    <row r="210" spans="1:9" ht="66" customHeight="1">
      <c r="A210" s="11"/>
      <c r="B210" s="4702"/>
      <c r="C210" s="1627" t="s">
        <v>541</v>
      </c>
      <c r="D210" s="1385" t="s">
        <v>101</v>
      </c>
      <c r="E210" s="1617">
        <v>3876</v>
      </c>
      <c r="F210" s="1387">
        <v>3087</v>
      </c>
      <c r="G210" s="1621">
        <v>0</v>
      </c>
      <c r="H210" s="1389">
        <f t="shared" si="16"/>
        <v>0</v>
      </c>
      <c r="I210" s="66"/>
    </row>
    <row r="211" spans="1:9" ht="66.75" customHeight="1" thickBot="1">
      <c r="A211" s="11"/>
      <c r="B211" s="4703"/>
      <c r="C211" s="245" t="s">
        <v>550</v>
      </c>
      <c r="D211" s="246" t="s">
        <v>309</v>
      </c>
      <c r="E211" s="247">
        <v>723</v>
      </c>
      <c r="F211" s="248">
        <v>576</v>
      </c>
      <c r="G211" s="249">
        <v>0</v>
      </c>
      <c r="H211" s="250">
        <f t="shared" si="16"/>
        <v>0</v>
      </c>
    </row>
    <row r="212" spans="1:9" ht="15.75" thickBot="1">
      <c r="A212" s="934"/>
      <c r="B212" s="935">
        <v>75046</v>
      </c>
      <c r="C212" s="940" t="s">
        <v>136</v>
      </c>
      <c r="D212" s="941"/>
      <c r="E212" s="136">
        <f t="shared" ref="E212:G212" si="18">SUM(E213,E216)</f>
        <v>21316</v>
      </c>
      <c r="F212" s="51">
        <f t="shared" si="18"/>
        <v>21316</v>
      </c>
      <c r="G212" s="942">
        <f t="shared" si="18"/>
        <v>16284.64</v>
      </c>
      <c r="H212" s="943">
        <f t="shared" si="16"/>
        <v>0.76396322011634454</v>
      </c>
    </row>
    <row r="213" spans="1:9">
      <c r="A213" s="934"/>
      <c r="B213" s="4664" t="s">
        <v>21</v>
      </c>
      <c r="C213" s="4665"/>
      <c r="D213" s="1628"/>
      <c r="E213" s="1601">
        <f t="shared" ref="E213:F213" si="19">SUM(E214:E215)</f>
        <v>21316</v>
      </c>
      <c r="F213" s="1601">
        <f t="shared" si="19"/>
        <v>21316</v>
      </c>
      <c r="G213" s="755">
        <f t="shared" ref="G213" si="20">SUM(G214:G215)</f>
        <v>16284.64</v>
      </c>
      <c r="H213" s="1495">
        <f t="shared" si="16"/>
        <v>0.76396322011634454</v>
      </c>
    </row>
    <row r="214" spans="1:9" ht="42" customHeight="1">
      <c r="A214" s="934"/>
      <c r="B214" s="4666"/>
      <c r="C214" s="1629" t="s">
        <v>46</v>
      </c>
      <c r="D214" s="1550">
        <v>2210</v>
      </c>
      <c r="E214" s="1386">
        <v>20000</v>
      </c>
      <c r="F214" s="1513">
        <v>20000</v>
      </c>
      <c r="G214" s="1630">
        <v>15689.64</v>
      </c>
      <c r="H214" s="1515">
        <f t="shared" si="16"/>
        <v>0.78448200000000001</v>
      </c>
    </row>
    <row r="215" spans="1:9" s="12" customFormat="1" ht="40.5" customHeight="1">
      <c r="A215" s="934"/>
      <c r="B215" s="4667"/>
      <c r="C215" s="1631" t="s">
        <v>59</v>
      </c>
      <c r="D215" s="944">
        <v>2360</v>
      </c>
      <c r="E215" s="1386">
        <v>1316</v>
      </c>
      <c r="F215" s="1537">
        <v>1316</v>
      </c>
      <c r="G215" s="1632">
        <v>595</v>
      </c>
      <c r="H215" s="1515">
        <f t="shared" si="16"/>
        <v>0.4521276595744681</v>
      </c>
    </row>
    <row r="216" spans="1:9" s="12" customFormat="1" ht="15.75" thickBot="1">
      <c r="A216" s="934"/>
      <c r="B216" s="4668" t="s">
        <v>26</v>
      </c>
      <c r="C216" s="4669"/>
      <c r="D216" s="1633"/>
      <c r="E216" s="1438">
        <v>0</v>
      </c>
      <c r="F216" s="1438">
        <v>0</v>
      </c>
      <c r="G216" s="1634">
        <v>0</v>
      </c>
      <c r="H216" s="1635"/>
    </row>
    <row r="217" spans="1:9" s="12" customFormat="1" ht="15.75" thickBot="1">
      <c r="A217" s="934"/>
      <c r="B217" s="1636">
        <v>75075</v>
      </c>
      <c r="C217" s="1637" t="s">
        <v>137</v>
      </c>
      <c r="D217" s="1638"/>
      <c r="E217" s="1431">
        <f>SUM(E223,E218)</f>
        <v>0</v>
      </c>
      <c r="F217" s="1431">
        <f>SUM(F223,F218)</f>
        <v>0</v>
      </c>
      <c r="G217" s="203">
        <f>SUM(G223,G218)</f>
        <v>79651.23000000001</v>
      </c>
      <c r="H217" s="1503"/>
    </row>
    <row r="218" spans="1:9" s="12" customFormat="1">
      <c r="A218" s="934"/>
      <c r="B218" s="4670" t="s">
        <v>21</v>
      </c>
      <c r="C218" s="4671"/>
      <c r="D218" s="1504"/>
      <c r="E218" s="1434">
        <f>SUM(E219:E222)</f>
        <v>0</v>
      </c>
      <c r="F218" s="1434">
        <f>SUM(F219:F222)</f>
        <v>0</v>
      </c>
      <c r="G218" s="1531">
        <f>SUM(G219:G222)</f>
        <v>79651.23000000001</v>
      </c>
      <c r="H218" s="1495"/>
    </row>
    <row r="219" spans="1:9">
      <c r="A219" s="934"/>
      <c r="B219" s="1639"/>
      <c r="C219" s="4691" t="s">
        <v>31</v>
      </c>
      <c r="D219" s="1514" t="s">
        <v>41</v>
      </c>
      <c r="E219" s="1640">
        <v>0</v>
      </c>
      <c r="F219" s="1513">
        <v>0</v>
      </c>
      <c r="G219" s="1630">
        <v>11.37</v>
      </c>
      <c r="H219" s="1511"/>
    </row>
    <row r="220" spans="1:9">
      <c r="A220" s="934"/>
      <c r="B220" s="936"/>
      <c r="C220" s="4692"/>
      <c r="D220" s="1514" t="s">
        <v>45</v>
      </c>
      <c r="E220" s="1640">
        <v>0</v>
      </c>
      <c r="F220" s="1513">
        <v>0</v>
      </c>
      <c r="G220" s="1630">
        <v>214.4</v>
      </c>
      <c r="H220" s="1511"/>
    </row>
    <row r="221" spans="1:9">
      <c r="A221" s="934"/>
      <c r="B221" s="937"/>
      <c r="C221" s="4693"/>
      <c r="D221" s="1514" t="s">
        <v>32</v>
      </c>
      <c r="E221" s="1640">
        <v>0</v>
      </c>
      <c r="F221" s="1513">
        <v>0</v>
      </c>
      <c r="G221" s="1630">
        <v>77468.600000000006</v>
      </c>
      <c r="H221" s="1511"/>
    </row>
    <row r="222" spans="1:9" ht="38.25">
      <c r="A222" s="934"/>
      <c r="B222" s="1641"/>
      <c r="C222" s="1642" t="s">
        <v>139</v>
      </c>
      <c r="D222" s="938" t="s">
        <v>79</v>
      </c>
      <c r="E222" s="52">
        <v>0</v>
      </c>
      <c r="F222" s="199">
        <v>0</v>
      </c>
      <c r="G222" s="939">
        <v>1956.86</v>
      </c>
      <c r="H222" s="1643"/>
    </row>
    <row r="223" spans="1:9" ht="15.75" thickBot="1">
      <c r="A223" s="1644"/>
      <c r="B223" s="4662" t="s">
        <v>26</v>
      </c>
      <c r="C223" s="4663"/>
      <c r="D223" s="1633"/>
      <c r="E223" s="1438">
        <v>0</v>
      </c>
      <c r="F223" s="1438">
        <v>0</v>
      </c>
      <c r="G223" s="1634">
        <v>0</v>
      </c>
      <c r="H223" s="1635"/>
    </row>
    <row r="224" spans="1:9" ht="15.75" thickBot="1">
      <c r="A224" s="1646"/>
      <c r="B224" s="1636">
        <v>75084</v>
      </c>
      <c r="C224" s="1647" t="s">
        <v>141</v>
      </c>
      <c r="D224" s="1638"/>
      <c r="E224" s="1421">
        <f>E225</f>
        <v>254000</v>
      </c>
      <c r="F224" s="1421">
        <f>F225</f>
        <v>264198</v>
      </c>
      <c r="G224" s="1648">
        <f t="shared" ref="G224" si="21">SUM(G225,G227)</f>
        <v>264195.63</v>
      </c>
      <c r="H224" s="1503">
        <f t="shared" ref="H224:H289" si="22">G224/F224</f>
        <v>0.99999102945518137</v>
      </c>
    </row>
    <row r="225" spans="1:10">
      <c r="A225" s="934"/>
      <c r="B225" s="4670" t="s">
        <v>21</v>
      </c>
      <c r="C225" s="4804"/>
      <c r="D225" s="1504"/>
      <c r="E225" s="1434">
        <f>E226</f>
        <v>254000</v>
      </c>
      <c r="F225" s="1434">
        <f>F226</f>
        <v>264198</v>
      </c>
      <c r="G225" s="1531">
        <f t="shared" ref="G225" si="23">SUM(G226)</f>
        <v>264195.63</v>
      </c>
      <c r="H225" s="1495">
        <f t="shared" si="22"/>
        <v>0.99999102945518137</v>
      </c>
    </row>
    <row r="226" spans="1:10" ht="38.25">
      <c r="A226" s="934"/>
      <c r="B226" s="1649"/>
      <c r="C226" s="1650" t="s">
        <v>46</v>
      </c>
      <c r="D226" s="1651">
        <v>2210</v>
      </c>
      <c r="E226" s="1386">
        <v>254000</v>
      </c>
      <c r="F226" s="1513">
        <v>264198</v>
      </c>
      <c r="G226" s="1630">
        <v>264195.63</v>
      </c>
      <c r="H226" s="1515">
        <f t="shared" si="22"/>
        <v>0.99999102945518137</v>
      </c>
    </row>
    <row r="227" spans="1:10" ht="15.75" thickBot="1">
      <c r="A227" s="934"/>
      <c r="B227" s="4662" t="s">
        <v>26</v>
      </c>
      <c r="C227" s="4663"/>
      <c r="D227" s="1633"/>
      <c r="E227" s="1438">
        <v>0</v>
      </c>
      <c r="F227" s="1438">
        <v>0</v>
      </c>
      <c r="G227" s="1634">
        <v>0</v>
      </c>
      <c r="H227" s="1635"/>
    </row>
    <row r="228" spans="1:10" ht="15.75" thickBot="1">
      <c r="A228" s="11"/>
      <c r="B228" s="1652">
        <v>75095</v>
      </c>
      <c r="C228" s="1375" t="s">
        <v>44</v>
      </c>
      <c r="D228" s="1376"/>
      <c r="E228" s="1421">
        <f>SUM(E229,E252)</f>
        <v>6329021</v>
      </c>
      <c r="F228" s="1110">
        <f>SUM(F229,F252)</f>
        <v>8737347</v>
      </c>
      <c r="G228" s="1107">
        <f>SUM(G229,G252)</f>
        <v>7297190.2699999996</v>
      </c>
      <c r="H228" s="1108">
        <f t="shared" si="22"/>
        <v>0.83517230916890439</v>
      </c>
    </row>
    <row r="229" spans="1:10">
      <c r="A229" s="11"/>
      <c r="B229" s="4536" t="s">
        <v>21</v>
      </c>
      <c r="C229" s="4722"/>
      <c r="D229" s="1433"/>
      <c r="E229" s="1400">
        <f>SUM(E230:E251)</f>
        <v>5443709</v>
      </c>
      <c r="F229" s="1400">
        <f>SUM(F230:F251)</f>
        <v>5206433</v>
      </c>
      <c r="G229" s="1476">
        <f>SUM(G230:G251)</f>
        <v>5225204.3499999996</v>
      </c>
      <c r="H229" s="1384">
        <f t="shared" si="22"/>
        <v>1.0036054146860238</v>
      </c>
    </row>
    <row r="230" spans="1:10" ht="15" customHeight="1">
      <c r="A230" s="11"/>
      <c r="B230" s="1487"/>
      <c r="C230" s="4683" t="s">
        <v>31</v>
      </c>
      <c r="D230" s="1497" t="s">
        <v>41</v>
      </c>
      <c r="E230" s="1386">
        <v>0</v>
      </c>
      <c r="F230" s="1387">
        <v>0</v>
      </c>
      <c r="G230" s="1630">
        <v>20728.93</v>
      </c>
      <c r="H230" s="1389"/>
    </row>
    <row r="231" spans="1:10">
      <c r="A231" s="11"/>
      <c r="B231" s="8"/>
      <c r="C231" s="4684"/>
      <c r="D231" s="1497" t="s">
        <v>32</v>
      </c>
      <c r="E231" s="1465">
        <v>0</v>
      </c>
      <c r="F231" s="1387">
        <v>0</v>
      </c>
      <c r="G231" s="1630">
        <v>1154392.46</v>
      </c>
      <c r="H231" s="1389"/>
    </row>
    <row r="232" spans="1:10">
      <c r="A232" s="11"/>
      <c r="B232" s="8"/>
      <c r="C232" s="4685"/>
      <c r="D232" s="1497" t="s">
        <v>25</v>
      </c>
      <c r="E232" s="1465">
        <v>0</v>
      </c>
      <c r="F232" s="1387">
        <v>0</v>
      </c>
      <c r="G232" s="1630">
        <v>817.5</v>
      </c>
      <c r="H232" s="1389"/>
    </row>
    <row r="233" spans="1:10" ht="35.25" customHeight="1">
      <c r="A233" s="11"/>
      <c r="B233" s="8"/>
      <c r="C233" s="4683" t="s">
        <v>996</v>
      </c>
      <c r="D233" s="1497" t="s">
        <v>127</v>
      </c>
      <c r="E233" s="1416">
        <v>0</v>
      </c>
      <c r="F233" s="1387">
        <v>9725</v>
      </c>
      <c r="G233" s="1388">
        <v>9724.2000000000007</v>
      </c>
      <c r="H233" s="1389">
        <f t="shared" si="22"/>
        <v>0.99991773778920312</v>
      </c>
    </row>
    <row r="234" spans="1:10" ht="36" customHeight="1">
      <c r="A234" s="11"/>
      <c r="B234" s="8"/>
      <c r="C234" s="4685"/>
      <c r="D234" s="805" t="s">
        <v>128</v>
      </c>
      <c r="E234" s="1416">
        <v>0</v>
      </c>
      <c r="F234" s="1387">
        <v>660</v>
      </c>
      <c r="G234" s="1388">
        <v>1813.77</v>
      </c>
      <c r="H234" s="1389">
        <f t="shared" si="22"/>
        <v>2.7481363636363638</v>
      </c>
    </row>
    <row r="235" spans="1:10" ht="67.5" customHeight="1">
      <c r="A235" s="11"/>
      <c r="B235" s="8"/>
      <c r="C235" s="1645" t="s">
        <v>142</v>
      </c>
      <c r="D235" s="1426" t="s">
        <v>143</v>
      </c>
      <c r="E235" s="1465">
        <v>2775080</v>
      </c>
      <c r="F235" s="1387">
        <v>1458727</v>
      </c>
      <c r="G235" s="1388">
        <v>1111400.43</v>
      </c>
      <c r="H235" s="1389">
        <f t="shared" si="22"/>
        <v>0.7618974832165305</v>
      </c>
      <c r="J235" s="7"/>
    </row>
    <row r="236" spans="1:10" ht="51">
      <c r="A236" s="11"/>
      <c r="B236" s="8"/>
      <c r="C236" s="806" t="s">
        <v>998</v>
      </c>
      <c r="D236" s="4688">
        <v>2008</v>
      </c>
      <c r="E236" s="1465">
        <v>0</v>
      </c>
      <c r="F236" s="1468">
        <v>916665</v>
      </c>
      <c r="G236" s="1469">
        <v>875158.08</v>
      </c>
      <c r="H236" s="1450">
        <f t="shared" si="22"/>
        <v>0.95471964130843867</v>
      </c>
    </row>
    <row r="237" spans="1:10" ht="51">
      <c r="A237" s="11"/>
      <c r="B237" s="8"/>
      <c r="C237" s="1653" t="s">
        <v>145</v>
      </c>
      <c r="D237" s="4688"/>
      <c r="E237" s="1465">
        <v>620500</v>
      </c>
      <c r="F237" s="1468">
        <v>620500</v>
      </c>
      <c r="G237" s="1469">
        <v>604954.55000000005</v>
      </c>
      <c r="H237" s="1450">
        <f t="shared" si="22"/>
        <v>0.97494689766317488</v>
      </c>
    </row>
    <row r="238" spans="1:10" ht="77.25" thickBot="1">
      <c r="A238" s="13"/>
      <c r="B238" s="9"/>
      <c r="C238" s="1654" t="s">
        <v>146</v>
      </c>
      <c r="D238" s="4690"/>
      <c r="E238" s="1612">
        <v>0</v>
      </c>
      <c r="F238" s="248">
        <v>4454</v>
      </c>
      <c r="G238" s="1613">
        <v>4453.3</v>
      </c>
      <c r="H238" s="250">
        <f t="shared" si="22"/>
        <v>0.99984283789851824</v>
      </c>
    </row>
    <row r="239" spans="1:10" ht="38.25">
      <c r="A239" s="1569"/>
      <c r="B239" s="1623"/>
      <c r="C239" s="1656" t="s">
        <v>147</v>
      </c>
      <c r="D239" s="4679">
        <v>2009</v>
      </c>
      <c r="E239" s="1607">
        <v>109500</v>
      </c>
      <c r="F239" s="1577">
        <v>109500</v>
      </c>
      <c r="G239" s="1578">
        <v>106757.06</v>
      </c>
      <c r="H239" s="1579">
        <f t="shared" si="22"/>
        <v>0.97495031963470313</v>
      </c>
    </row>
    <row r="240" spans="1:10" ht="51">
      <c r="A240" s="11"/>
      <c r="B240" s="8"/>
      <c r="C240" s="1657" t="s">
        <v>998</v>
      </c>
      <c r="D240" s="4688"/>
      <c r="E240" s="1386">
        <v>0</v>
      </c>
      <c r="F240" s="1387">
        <v>233335</v>
      </c>
      <c r="G240" s="1388">
        <v>222769.9</v>
      </c>
      <c r="H240" s="1389">
        <f t="shared" si="22"/>
        <v>0.95472132341911842</v>
      </c>
    </row>
    <row r="241" spans="1:11" ht="63.75">
      <c r="A241" s="11"/>
      <c r="B241" s="8"/>
      <c r="C241" s="1657" t="s">
        <v>148</v>
      </c>
      <c r="D241" s="4688"/>
      <c r="E241" s="1386">
        <v>168050</v>
      </c>
      <c r="F241" s="1387">
        <v>88338</v>
      </c>
      <c r="G241" s="1388">
        <v>67304.05</v>
      </c>
      <c r="H241" s="1389">
        <f t="shared" si="22"/>
        <v>0.76189239059068581</v>
      </c>
      <c r="K241" s="7"/>
    </row>
    <row r="242" spans="1:11" ht="76.5">
      <c r="A242" s="11"/>
      <c r="B242" s="8"/>
      <c r="C242" s="1645" t="s">
        <v>150</v>
      </c>
      <c r="D242" s="4688"/>
      <c r="E242" s="1416"/>
      <c r="F242" s="1387">
        <v>786</v>
      </c>
      <c r="G242" s="1388">
        <v>785.88</v>
      </c>
      <c r="H242" s="1389">
        <f t="shared" si="22"/>
        <v>0.9998473282442748</v>
      </c>
    </row>
    <row r="243" spans="1:11" ht="63.75">
      <c r="A243" s="11"/>
      <c r="B243" s="8"/>
      <c r="C243" s="1645" t="s">
        <v>142</v>
      </c>
      <c r="D243" s="4689">
        <v>2057</v>
      </c>
      <c r="E243" s="1465">
        <v>94369</v>
      </c>
      <c r="F243" s="1468">
        <v>195737</v>
      </c>
      <c r="G243" s="1469">
        <v>87661.82</v>
      </c>
      <c r="H243" s="1450">
        <f t="shared" si="22"/>
        <v>0.44785513214159822</v>
      </c>
      <c r="K243" s="7"/>
    </row>
    <row r="244" spans="1:11" ht="56.25" customHeight="1" thickBot="1">
      <c r="A244" s="13"/>
      <c r="B244" s="9"/>
      <c r="C244" s="1658" t="s">
        <v>144</v>
      </c>
      <c r="D244" s="4690"/>
      <c r="E244" s="1659">
        <v>114358</v>
      </c>
      <c r="F244" s="894">
        <v>0</v>
      </c>
      <c r="G244" s="895">
        <v>0</v>
      </c>
      <c r="H244" s="1660"/>
    </row>
    <row r="245" spans="1:11" ht="73.5" customHeight="1">
      <c r="A245" s="1569"/>
      <c r="B245" s="1623"/>
      <c r="C245" s="1661" t="s">
        <v>151</v>
      </c>
      <c r="D245" s="4679">
        <v>2058</v>
      </c>
      <c r="E245" s="1607">
        <v>1400928</v>
      </c>
      <c r="F245" s="1577">
        <v>1400928</v>
      </c>
      <c r="G245" s="1578">
        <v>768509.63</v>
      </c>
      <c r="H245" s="1579">
        <f t="shared" si="22"/>
        <v>0.54857182524726467</v>
      </c>
    </row>
    <row r="246" spans="1:11" ht="70.5" customHeight="1">
      <c r="A246" s="11"/>
      <c r="B246" s="8"/>
      <c r="C246" s="1451" t="s">
        <v>152</v>
      </c>
      <c r="D246" s="4680"/>
      <c r="E246" s="1386">
        <v>129445</v>
      </c>
      <c r="F246" s="1387">
        <v>129445</v>
      </c>
      <c r="G246" s="1388">
        <v>156886.26999999999</v>
      </c>
      <c r="H246" s="1389">
        <f t="shared" si="22"/>
        <v>1.211991733941056</v>
      </c>
    </row>
    <row r="247" spans="1:11" ht="69" customHeight="1">
      <c r="A247" s="11"/>
      <c r="B247" s="8"/>
      <c r="C247" s="1645" t="s">
        <v>153</v>
      </c>
      <c r="D247" s="4688">
        <v>2059</v>
      </c>
      <c r="E247" s="1386">
        <v>5718</v>
      </c>
      <c r="F247" s="1387">
        <v>11854</v>
      </c>
      <c r="G247" s="1388">
        <v>5308.74</v>
      </c>
      <c r="H247" s="1389">
        <f t="shared" si="22"/>
        <v>0.44784376581744556</v>
      </c>
    </row>
    <row r="248" spans="1:11" ht="54" customHeight="1">
      <c r="A248" s="11"/>
      <c r="B248" s="8"/>
      <c r="C248" s="1662" t="s">
        <v>149</v>
      </c>
      <c r="D248" s="4688"/>
      <c r="E248" s="1386">
        <v>7761</v>
      </c>
      <c r="F248" s="1387">
        <v>0</v>
      </c>
      <c r="G248" s="1388">
        <v>0</v>
      </c>
      <c r="H248" s="1582"/>
    </row>
    <row r="249" spans="1:11" ht="63.75">
      <c r="A249" s="11"/>
      <c r="B249" s="8"/>
      <c r="C249" s="1662" t="s">
        <v>154</v>
      </c>
      <c r="D249" s="4680"/>
      <c r="E249" s="1386">
        <v>18000</v>
      </c>
      <c r="F249" s="1387">
        <v>18000</v>
      </c>
      <c r="G249" s="1388">
        <v>18000</v>
      </c>
      <c r="H249" s="1389">
        <f t="shared" si="22"/>
        <v>1</v>
      </c>
    </row>
    <row r="250" spans="1:11" ht="29.25" customHeight="1">
      <c r="A250" s="11"/>
      <c r="B250" s="8"/>
      <c r="C250" s="4540" t="s">
        <v>997</v>
      </c>
      <c r="D250" s="1404">
        <v>2957</v>
      </c>
      <c r="E250" s="1465">
        <v>0</v>
      </c>
      <c r="F250" s="1468">
        <v>7284</v>
      </c>
      <c r="G250" s="1469">
        <v>7283.46</v>
      </c>
      <c r="H250" s="1450">
        <f t="shared" ref="H250:H251" si="24">G250/F250</f>
        <v>0.9999258649093905</v>
      </c>
    </row>
    <row r="251" spans="1:11" ht="27" customHeight="1">
      <c r="A251" s="11"/>
      <c r="B251" s="1663"/>
      <c r="C251" s="4803"/>
      <c r="D251" s="1404">
        <v>2959</v>
      </c>
      <c r="E251" s="1386">
        <v>0</v>
      </c>
      <c r="F251" s="1387">
        <v>495</v>
      </c>
      <c r="G251" s="1388">
        <v>494.32</v>
      </c>
      <c r="H251" s="1389">
        <f t="shared" si="24"/>
        <v>0.99862626262626264</v>
      </c>
    </row>
    <row r="252" spans="1:11" s="1" customFormat="1">
      <c r="A252" s="11"/>
      <c r="B252" s="4779" t="s">
        <v>67</v>
      </c>
      <c r="C252" s="4805"/>
      <c r="D252" s="1600"/>
      <c r="E252" s="1472">
        <f>SUM(E253:E262)</f>
        <v>885312</v>
      </c>
      <c r="F252" s="1472">
        <f>SUM(F253:F262)</f>
        <v>3530914</v>
      </c>
      <c r="G252" s="1664">
        <f>SUM(G253:G262)</f>
        <v>2071985.92</v>
      </c>
      <c r="H252" s="1474">
        <f t="shared" si="22"/>
        <v>0.5868129101983226</v>
      </c>
    </row>
    <row r="253" spans="1:11" s="12" customFormat="1" ht="67.5" customHeight="1" thickBot="1">
      <c r="A253" s="13"/>
      <c r="B253" s="1972"/>
      <c r="C253" s="1658" t="s">
        <v>142</v>
      </c>
      <c r="D253" s="1973">
        <v>6207</v>
      </c>
      <c r="E253" s="1659">
        <v>779109</v>
      </c>
      <c r="F253" s="894">
        <v>1680209</v>
      </c>
      <c r="G253" s="895">
        <v>0</v>
      </c>
      <c r="H253" s="896">
        <f t="shared" si="22"/>
        <v>0</v>
      </c>
    </row>
    <row r="254" spans="1:11" ht="76.5">
      <c r="A254" s="11" t="s">
        <v>155</v>
      </c>
      <c r="B254" s="17"/>
      <c r="C254" s="1645" t="s">
        <v>156</v>
      </c>
      <c r="D254" s="4688">
        <v>6208</v>
      </c>
      <c r="E254" s="1465">
        <v>0</v>
      </c>
      <c r="F254" s="1468">
        <v>1228515</v>
      </c>
      <c r="G254" s="1469">
        <f>1550094.17-321580.43</f>
        <v>1228513.74</v>
      </c>
      <c r="H254" s="1450">
        <f t="shared" si="22"/>
        <v>0.99999897437149732</v>
      </c>
    </row>
    <row r="255" spans="1:11" ht="89.25">
      <c r="A255" s="11"/>
      <c r="B255" s="17"/>
      <c r="C255" s="1657" t="s">
        <v>1021</v>
      </c>
      <c r="D255" s="4680"/>
      <c r="E255" s="1386">
        <v>0</v>
      </c>
      <c r="F255" s="1387">
        <v>0</v>
      </c>
      <c r="G255" s="1469">
        <v>321580.43</v>
      </c>
      <c r="H255" s="1450"/>
    </row>
    <row r="256" spans="1:11" ht="76.5" customHeight="1">
      <c r="A256" s="11"/>
      <c r="B256" s="17"/>
      <c r="C256" s="1665" t="s">
        <v>150</v>
      </c>
      <c r="D256" s="4689">
        <v>6209</v>
      </c>
      <c r="E256" s="1465">
        <v>0</v>
      </c>
      <c r="F256" s="1468">
        <v>216798</v>
      </c>
      <c r="G256" s="1469">
        <f>273546.03-56749.5</f>
        <v>216796.53000000003</v>
      </c>
      <c r="H256" s="1450">
        <f t="shared" si="22"/>
        <v>0.99999321949464492</v>
      </c>
    </row>
    <row r="257" spans="1:8" ht="63.75">
      <c r="A257" s="11"/>
      <c r="B257" s="17"/>
      <c r="C257" s="1666" t="s">
        <v>157</v>
      </c>
      <c r="D257" s="4688"/>
      <c r="E257" s="1386">
        <v>47181</v>
      </c>
      <c r="F257" s="1387">
        <v>101749</v>
      </c>
      <c r="G257" s="1388">
        <v>0</v>
      </c>
      <c r="H257" s="1389">
        <f t="shared" si="22"/>
        <v>0</v>
      </c>
    </row>
    <row r="258" spans="1:8" ht="91.5" customHeight="1">
      <c r="A258" s="11"/>
      <c r="B258" s="17"/>
      <c r="C258" s="1645" t="s">
        <v>1022</v>
      </c>
      <c r="D258" s="4680"/>
      <c r="E258" s="1465">
        <v>0</v>
      </c>
      <c r="F258" s="1387">
        <v>0</v>
      </c>
      <c r="G258" s="1388">
        <v>56749.5</v>
      </c>
      <c r="H258" s="1389"/>
    </row>
    <row r="259" spans="1:8" ht="68.25" customHeight="1" thickBot="1">
      <c r="A259" s="13"/>
      <c r="B259" s="18"/>
      <c r="C259" s="1667" t="s">
        <v>142</v>
      </c>
      <c r="D259" s="1655">
        <v>6257</v>
      </c>
      <c r="E259" s="1612">
        <v>55651</v>
      </c>
      <c r="F259" s="894">
        <v>52139</v>
      </c>
      <c r="G259" s="895">
        <v>0</v>
      </c>
      <c r="H259" s="896">
        <f t="shared" si="22"/>
        <v>0</v>
      </c>
    </row>
    <row r="260" spans="1:8" ht="63.75">
      <c r="A260" s="1569"/>
      <c r="B260" s="1668"/>
      <c r="C260" s="1669" t="s">
        <v>157</v>
      </c>
      <c r="D260" s="1670">
        <v>6259</v>
      </c>
      <c r="E260" s="1576">
        <v>3371</v>
      </c>
      <c r="F260" s="1577">
        <v>3157</v>
      </c>
      <c r="G260" s="1578">
        <v>0</v>
      </c>
      <c r="H260" s="1579">
        <f t="shared" si="22"/>
        <v>0</v>
      </c>
    </row>
    <row r="261" spans="1:8" ht="36.75" customHeight="1">
      <c r="A261" s="11"/>
      <c r="B261" s="17"/>
      <c r="C261" s="4540" t="s">
        <v>999</v>
      </c>
      <c r="D261" s="252">
        <v>6697</v>
      </c>
      <c r="E261" s="235">
        <v>0</v>
      </c>
      <c r="F261" s="738">
        <v>234166</v>
      </c>
      <c r="G261" s="424">
        <v>234165.24</v>
      </c>
      <c r="H261" s="425">
        <f t="shared" si="22"/>
        <v>0.99999675443915848</v>
      </c>
    </row>
    <row r="262" spans="1:8" ht="34.5" customHeight="1" thickBot="1">
      <c r="A262" s="15"/>
      <c r="B262" s="18"/>
      <c r="C262" s="4541"/>
      <c r="D262" s="897">
        <v>6699</v>
      </c>
      <c r="E262" s="893">
        <v>0</v>
      </c>
      <c r="F262" s="894">
        <v>14181</v>
      </c>
      <c r="G262" s="895">
        <v>14180.48</v>
      </c>
      <c r="H262" s="896">
        <f t="shared" si="22"/>
        <v>0.99996333121782666</v>
      </c>
    </row>
    <row r="263" spans="1:8" ht="15.75" thickBot="1">
      <c r="A263" s="739">
        <v>754</v>
      </c>
      <c r="B263" s="740"/>
      <c r="C263" s="871" t="s">
        <v>158</v>
      </c>
      <c r="D263" s="825"/>
      <c r="E263" s="841">
        <f>SUM(E264,E269)</f>
        <v>0</v>
      </c>
      <c r="F263" s="841">
        <f t="shared" ref="F263:G263" si="25">SUM(F264,F269)</f>
        <v>0</v>
      </c>
      <c r="G263" s="842">
        <f t="shared" si="25"/>
        <v>16784.440000000002</v>
      </c>
      <c r="H263" s="144"/>
    </row>
    <row r="264" spans="1:8" ht="15.75" thickBot="1">
      <c r="A264" s="872"/>
      <c r="B264" s="873">
        <v>75415</v>
      </c>
      <c r="C264" s="874" t="s">
        <v>396</v>
      </c>
      <c r="D264" s="382"/>
      <c r="E264" s="843">
        <v>0</v>
      </c>
      <c r="F264" s="843">
        <f>SUM(F268,F265)</f>
        <v>0</v>
      </c>
      <c r="G264" s="867">
        <f>SUM(G268,G265)</f>
        <v>13098.12</v>
      </c>
      <c r="H264" s="140"/>
    </row>
    <row r="265" spans="1:8">
      <c r="A265" s="875"/>
      <c r="B265" s="4712" t="s">
        <v>21</v>
      </c>
      <c r="C265" s="4713"/>
      <c r="D265" s="426"/>
      <c r="E265" s="868">
        <v>0</v>
      </c>
      <c r="F265" s="868">
        <f>SUM(F266:F267)</f>
        <v>0</v>
      </c>
      <c r="G265" s="869">
        <f>SUM(G266:G267)</f>
        <v>13098.12</v>
      </c>
      <c r="H265" s="141"/>
    </row>
    <row r="266" spans="1:8" ht="25.5" customHeight="1">
      <c r="A266" s="149"/>
      <c r="B266" s="4677"/>
      <c r="C266" s="4549" t="s">
        <v>1103</v>
      </c>
      <c r="D266" s="866">
        <v>2910</v>
      </c>
      <c r="E266" s="236">
        <v>0</v>
      </c>
      <c r="F266" s="227">
        <v>0</v>
      </c>
      <c r="G266" s="228">
        <v>8298.1200000000008</v>
      </c>
      <c r="H266" s="25"/>
    </row>
    <row r="267" spans="1:8" ht="25.5" customHeight="1">
      <c r="A267" s="149"/>
      <c r="B267" s="4678"/>
      <c r="C267" s="4550"/>
      <c r="D267" s="432">
        <v>2950</v>
      </c>
      <c r="E267" s="236">
        <v>0</v>
      </c>
      <c r="F267" s="227">
        <v>0</v>
      </c>
      <c r="G267" s="228">
        <v>4800</v>
      </c>
      <c r="H267" s="25"/>
    </row>
    <row r="268" spans="1:8" ht="15.75" thickBot="1">
      <c r="A268" s="149"/>
      <c r="B268" s="4534" t="s">
        <v>26</v>
      </c>
      <c r="C268" s="4535"/>
      <c r="D268" s="385"/>
      <c r="E268" s="870">
        <v>0</v>
      </c>
      <c r="F268" s="870">
        <v>0</v>
      </c>
      <c r="G268" s="279">
        <v>0</v>
      </c>
      <c r="H268" s="43"/>
    </row>
    <row r="269" spans="1:8" ht="15.75" thickBot="1">
      <c r="A269" s="149"/>
      <c r="B269" s="873">
        <v>75421</v>
      </c>
      <c r="C269" s="874" t="s">
        <v>546</v>
      </c>
      <c r="D269" s="382"/>
      <c r="E269" s="843">
        <v>0</v>
      </c>
      <c r="F269" s="843">
        <f>SUM(F272,F270)</f>
        <v>0</v>
      </c>
      <c r="G269" s="867">
        <f>SUM(G272,G270)</f>
        <v>3686.32</v>
      </c>
      <c r="H269" s="140"/>
    </row>
    <row r="270" spans="1:8">
      <c r="A270" s="149"/>
      <c r="B270" s="4686" t="s">
        <v>21</v>
      </c>
      <c r="C270" s="4687"/>
      <c r="D270" s="426"/>
      <c r="E270" s="868">
        <v>0</v>
      </c>
      <c r="F270" s="868">
        <f>SUM(F271:F271)</f>
        <v>0</v>
      </c>
      <c r="G270" s="869">
        <f>SUM(G271:G271)</f>
        <v>3686.32</v>
      </c>
      <c r="H270" s="141"/>
    </row>
    <row r="271" spans="1:8" ht="38.25">
      <c r="A271" s="149"/>
      <c r="B271" s="193"/>
      <c r="C271" s="4317" t="s">
        <v>1102</v>
      </c>
      <c r="D271" s="432">
        <v>2950</v>
      </c>
      <c r="E271" s="236">
        <v>0</v>
      </c>
      <c r="F271" s="227">
        <v>0</v>
      </c>
      <c r="G271" s="228">
        <v>3686.32</v>
      </c>
      <c r="H271" s="25"/>
    </row>
    <row r="272" spans="1:8" ht="15.75" thickBot="1">
      <c r="A272" s="150"/>
      <c r="B272" s="4534" t="s">
        <v>26</v>
      </c>
      <c r="C272" s="4535"/>
      <c r="D272" s="385"/>
      <c r="E272" s="870">
        <v>0</v>
      </c>
      <c r="F272" s="870">
        <v>0</v>
      </c>
      <c r="G272" s="279">
        <v>0</v>
      </c>
      <c r="H272" s="43"/>
    </row>
    <row r="273" spans="1:13" s="1" customFormat="1" ht="42" customHeight="1" thickBot="1">
      <c r="A273" s="289">
        <v>756</v>
      </c>
      <c r="B273" s="1090"/>
      <c r="C273" s="1091" t="s">
        <v>483</v>
      </c>
      <c r="D273" s="292"/>
      <c r="E273" s="293">
        <f>SUM(E274,E281)</f>
        <v>473998748</v>
      </c>
      <c r="F273" s="293">
        <f>SUM(F274,F281)</f>
        <v>473998748</v>
      </c>
      <c r="G273" s="294">
        <f>SUM(G274,G281)</f>
        <v>474200590.38999999</v>
      </c>
      <c r="H273" s="428">
        <f t="shared" si="22"/>
        <v>1.0004258289517676</v>
      </c>
    </row>
    <row r="274" spans="1:13" s="1" customFormat="1" ht="30.75" customHeight="1" thickBot="1">
      <c r="A274" s="1461"/>
      <c r="B274" s="1462">
        <v>75618</v>
      </c>
      <c r="C274" s="1375" t="s">
        <v>160</v>
      </c>
      <c r="D274" s="1398"/>
      <c r="E274" s="1432">
        <f>SUM(E275,E280)</f>
        <v>5473123</v>
      </c>
      <c r="F274" s="1432">
        <f>SUM(F275,F280)</f>
        <v>5473123</v>
      </c>
      <c r="G274" s="383">
        <f>SUM(G275,G280)</f>
        <v>5674965.3899999997</v>
      </c>
      <c r="H274" s="1108">
        <f t="shared" si="22"/>
        <v>1.0368788331634424</v>
      </c>
    </row>
    <row r="275" spans="1:13" s="1" customFormat="1">
      <c r="A275" s="673"/>
      <c r="B275" s="4536" t="s">
        <v>21</v>
      </c>
      <c r="C275" s="4537"/>
      <c r="D275" s="1671"/>
      <c r="E275" s="1412">
        <f>SUM(E276:E279)</f>
        <v>5473123</v>
      </c>
      <c r="F275" s="1412">
        <f>SUM(F276:F279)</f>
        <v>5473123</v>
      </c>
      <c r="G275" s="285">
        <f>SUM(G276:G279)</f>
        <v>5674965.3899999997</v>
      </c>
      <c r="H275" s="1384">
        <f t="shared" si="22"/>
        <v>1.0368788331634424</v>
      </c>
    </row>
    <row r="276" spans="1:13" s="1" customFormat="1" ht="27" customHeight="1">
      <c r="A276" s="673"/>
      <c r="B276" s="1562"/>
      <c r="C276" s="1672" t="s">
        <v>161</v>
      </c>
      <c r="D276" s="1385" t="s">
        <v>162</v>
      </c>
      <c r="E276" s="1391">
        <v>4896923</v>
      </c>
      <c r="F276" s="1387">
        <v>4896923</v>
      </c>
      <c r="G276" s="1388">
        <v>4978388.0599999996</v>
      </c>
      <c r="H276" s="1389">
        <f t="shared" si="22"/>
        <v>1.016635969158592</v>
      </c>
    </row>
    <row r="277" spans="1:13" ht="27.75" customHeight="1" thickBot="1">
      <c r="A277" s="1551"/>
      <c r="B277" s="18"/>
      <c r="C277" s="1673" t="s">
        <v>163</v>
      </c>
      <c r="D277" s="246" t="s">
        <v>164</v>
      </c>
      <c r="E277" s="893">
        <v>551200</v>
      </c>
      <c r="F277" s="894">
        <v>551200</v>
      </c>
      <c r="G277" s="895">
        <v>659350</v>
      </c>
      <c r="H277" s="896">
        <f t="shared" si="22"/>
        <v>1.1962082728592163</v>
      </c>
    </row>
    <row r="278" spans="1:13" s="1" customFormat="1" ht="40.5" customHeight="1">
      <c r="A278" s="1461"/>
      <c r="B278" s="1668"/>
      <c r="C278" s="1674" t="s">
        <v>165</v>
      </c>
      <c r="D278" s="1675" t="s">
        <v>166</v>
      </c>
      <c r="E278" s="1576">
        <v>0</v>
      </c>
      <c r="F278" s="1577">
        <v>0</v>
      </c>
      <c r="G278" s="1578">
        <v>21227.13</v>
      </c>
      <c r="H278" s="1579"/>
    </row>
    <row r="279" spans="1:13" ht="28.5" customHeight="1">
      <c r="A279" s="6"/>
      <c r="B279" s="1676"/>
      <c r="C279" s="1470" t="s">
        <v>167</v>
      </c>
      <c r="D279" s="1390" t="s">
        <v>25</v>
      </c>
      <c r="E279" s="1391">
        <v>25000</v>
      </c>
      <c r="F279" s="1387">
        <v>25000</v>
      </c>
      <c r="G279" s="1388">
        <v>16000.2</v>
      </c>
      <c r="H279" s="1389">
        <f t="shared" si="22"/>
        <v>0.64000800000000002</v>
      </c>
    </row>
    <row r="280" spans="1:13" s="1092" customFormat="1" ht="15.75" thickBot="1">
      <c r="A280" s="673"/>
      <c r="B280" s="4538" t="s">
        <v>26</v>
      </c>
      <c r="C280" s="4539"/>
      <c r="D280" s="441"/>
      <c r="E280" s="717">
        <v>0</v>
      </c>
      <c r="F280" s="717">
        <v>0</v>
      </c>
      <c r="G280" s="1407">
        <v>0</v>
      </c>
      <c r="H280" s="1419"/>
    </row>
    <row r="281" spans="1:13" s="1" customFormat="1" ht="27.75" customHeight="1" thickBot="1">
      <c r="A281" s="673"/>
      <c r="B281" s="1093">
        <v>75623</v>
      </c>
      <c r="C281" s="864" t="s">
        <v>168</v>
      </c>
      <c r="D281" s="436"/>
      <c r="E281" s="810">
        <f t="shared" ref="E281:G281" si="26">SUM(E282,E285)</f>
        <v>468525625</v>
      </c>
      <c r="F281" s="810">
        <f t="shared" si="26"/>
        <v>468525625</v>
      </c>
      <c r="G281" s="438">
        <f t="shared" si="26"/>
        <v>468525625</v>
      </c>
      <c r="H281" s="439">
        <f t="shared" si="22"/>
        <v>1</v>
      </c>
    </row>
    <row r="282" spans="1:13" s="1" customFormat="1">
      <c r="A282" s="673"/>
      <c r="B282" s="4681" t="s">
        <v>21</v>
      </c>
      <c r="C282" s="4682"/>
      <c r="D282" s="1677"/>
      <c r="E282" s="1412">
        <f t="shared" ref="E282:F282" si="27">SUM(E283:E284)</f>
        <v>468525625</v>
      </c>
      <c r="F282" s="1412">
        <f t="shared" si="27"/>
        <v>468525625</v>
      </c>
      <c r="G282" s="285">
        <f t="shared" ref="G282" si="28">SUM(G283:G284)</f>
        <v>468525625</v>
      </c>
      <c r="H282" s="1384">
        <f t="shared" si="22"/>
        <v>1</v>
      </c>
    </row>
    <row r="283" spans="1:13" s="1" customFormat="1" ht="15.75" customHeight="1">
      <c r="A283" s="673"/>
      <c r="B283" s="4673"/>
      <c r="C283" s="1494" t="s">
        <v>169</v>
      </c>
      <c r="D283" s="1390" t="s">
        <v>170</v>
      </c>
      <c r="E283" s="1391">
        <v>60878984</v>
      </c>
      <c r="F283" s="1387">
        <v>60878984</v>
      </c>
      <c r="G283" s="1388">
        <v>60878984</v>
      </c>
      <c r="H283" s="1389">
        <f t="shared" si="22"/>
        <v>1</v>
      </c>
    </row>
    <row r="284" spans="1:13" s="1" customFormat="1" ht="15.75" customHeight="1">
      <c r="A284" s="673"/>
      <c r="B284" s="4674"/>
      <c r="C284" s="1494" t="s">
        <v>171</v>
      </c>
      <c r="D284" s="1390" t="s">
        <v>172</v>
      </c>
      <c r="E284" s="1391">
        <v>407646641</v>
      </c>
      <c r="F284" s="1387">
        <v>407646641</v>
      </c>
      <c r="G284" s="1388">
        <v>407646641</v>
      </c>
      <c r="H284" s="1389">
        <f t="shared" si="22"/>
        <v>1</v>
      </c>
    </row>
    <row r="285" spans="1:13" s="1" customFormat="1" ht="15.75" thickBot="1">
      <c r="A285" s="860"/>
      <c r="B285" s="4675" t="s">
        <v>26</v>
      </c>
      <c r="C285" s="4676"/>
      <c r="D285" s="1405"/>
      <c r="E285" s="717">
        <v>0</v>
      </c>
      <c r="F285" s="717">
        <v>0</v>
      </c>
      <c r="G285" s="1407">
        <v>0</v>
      </c>
      <c r="H285" s="1419"/>
    </row>
    <row r="286" spans="1:13" s="1" customFormat="1" ht="15.75" thickBot="1">
      <c r="A286" s="1096">
        <v>758</v>
      </c>
      <c r="B286" s="1097"/>
      <c r="C286" s="1098" t="s">
        <v>173</v>
      </c>
      <c r="D286" s="1099"/>
      <c r="E286" s="1371">
        <f>SUM(E287,E291,E297,E301,E306,E310,E314,E324,E332,E338)</f>
        <v>992745823</v>
      </c>
      <c r="F286" s="1371">
        <f>SUM(F287,F291,F297,F301,F306,F310,F314,F324,F332,F338)</f>
        <v>1024886509</v>
      </c>
      <c r="G286" s="1678">
        <f>SUM(G287,G291,G297,G301,G306,G310,G314,G324,G332,G338)</f>
        <v>993553983.81000006</v>
      </c>
      <c r="H286" s="1372">
        <f t="shared" si="22"/>
        <v>0.96942829775311257</v>
      </c>
    </row>
    <row r="287" spans="1:13" s="1" customFormat="1" ht="27.75" customHeight="1" thickBot="1">
      <c r="A287" s="1679"/>
      <c r="B287" s="1680">
        <v>75801</v>
      </c>
      <c r="C287" s="1104" t="s">
        <v>174</v>
      </c>
      <c r="D287" s="1105"/>
      <c r="E287" s="1432">
        <f t="shared" ref="E287:G287" si="29">SUM(E288,E290)</f>
        <v>36944487</v>
      </c>
      <c r="F287" s="1432">
        <f t="shared" si="29"/>
        <v>38648146</v>
      </c>
      <c r="G287" s="383">
        <f t="shared" si="29"/>
        <v>38648146</v>
      </c>
      <c r="H287" s="1108">
        <f t="shared" si="22"/>
        <v>1</v>
      </c>
      <c r="I287" s="861"/>
      <c r="J287" s="861"/>
      <c r="K287" s="1089"/>
      <c r="L287" s="861"/>
      <c r="M287" s="861"/>
    </row>
    <row r="288" spans="1:13" s="1" customFormat="1">
      <c r="A288" s="1087"/>
      <c r="B288" s="4547" t="s">
        <v>21</v>
      </c>
      <c r="C288" s="4547"/>
      <c r="D288" s="1681"/>
      <c r="E288" s="1412">
        <f t="shared" ref="E288:G288" si="30">SUM(E289)</f>
        <v>36944487</v>
      </c>
      <c r="F288" s="1412">
        <f t="shared" si="30"/>
        <v>38648146</v>
      </c>
      <c r="G288" s="285">
        <f t="shared" si="30"/>
        <v>38648146</v>
      </c>
      <c r="H288" s="1384">
        <f t="shared" si="22"/>
        <v>1</v>
      </c>
    </row>
    <row r="289" spans="1:9" s="1" customFormat="1">
      <c r="A289" s="1087"/>
      <c r="B289" s="1682"/>
      <c r="C289" s="1683" t="s">
        <v>175</v>
      </c>
      <c r="D289" s="1684">
        <v>2920</v>
      </c>
      <c r="E289" s="1391">
        <v>36944487</v>
      </c>
      <c r="F289" s="1387">
        <v>38648146</v>
      </c>
      <c r="G289" s="1388">
        <v>38648146</v>
      </c>
      <c r="H289" s="1389">
        <f t="shared" si="22"/>
        <v>1</v>
      </c>
    </row>
    <row r="290" spans="1:9" s="1" customFormat="1" ht="15.75" thickBot="1">
      <c r="A290" s="1087"/>
      <c r="B290" s="4548" t="s">
        <v>26</v>
      </c>
      <c r="C290" s="4548"/>
      <c r="D290" s="1685"/>
      <c r="E290" s="717">
        <v>0</v>
      </c>
      <c r="F290" s="717">
        <v>0</v>
      </c>
      <c r="G290" s="1407">
        <v>0</v>
      </c>
      <c r="H290" s="1419"/>
    </row>
    <row r="291" spans="1:9" s="1" customFormat="1" ht="27" customHeight="1" thickBot="1">
      <c r="A291" s="1087"/>
      <c r="B291" s="429">
        <v>75802</v>
      </c>
      <c r="C291" s="812" t="s">
        <v>176</v>
      </c>
      <c r="D291" s="813"/>
      <c r="E291" s="810">
        <f>SUM(E292,E295)</f>
        <v>0</v>
      </c>
      <c r="F291" s="810">
        <f t="shared" ref="F291:G291" si="31">SUM(F292,F295)</f>
        <v>22923606</v>
      </c>
      <c r="G291" s="851">
        <f t="shared" si="31"/>
        <v>22923605.199999999</v>
      </c>
      <c r="H291" s="1108">
        <f t="shared" ref="H291:H349" si="32">G291/F291</f>
        <v>0.9999999651014766</v>
      </c>
    </row>
    <row r="292" spans="1:9" s="1" customFormat="1">
      <c r="A292" s="1087"/>
      <c r="B292" s="4522" t="s">
        <v>21</v>
      </c>
      <c r="C292" s="4542"/>
      <c r="D292" s="1686"/>
      <c r="E292" s="1400">
        <f>SUM(E293:E294)</f>
        <v>0</v>
      </c>
      <c r="F292" s="1400">
        <f t="shared" ref="F292:G292" si="33">SUM(F293:F294)</f>
        <v>17123606</v>
      </c>
      <c r="G292" s="1476">
        <f t="shared" si="33"/>
        <v>17123605.199999999</v>
      </c>
      <c r="H292" s="1384">
        <f t="shared" si="32"/>
        <v>0.99999995328086844</v>
      </c>
    </row>
    <row r="293" spans="1:9" ht="22.5" customHeight="1">
      <c r="A293" s="148"/>
      <c r="B293" s="4543"/>
      <c r="C293" s="4792" t="s">
        <v>1113</v>
      </c>
      <c r="D293" s="4559">
        <v>2770</v>
      </c>
      <c r="E293" s="1478">
        <v>0</v>
      </c>
      <c r="F293" s="1478">
        <v>16617528</v>
      </c>
      <c r="G293" s="1688">
        <v>16617528</v>
      </c>
      <c r="H293" s="1389">
        <f t="shared" si="32"/>
        <v>1</v>
      </c>
    </row>
    <row r="294" spans="1:9" ht="22.5" customHeight="1">
      <c r="A294" s="148"/>
      <c r="B294" s="4543"/>
      <c r="C294" s="4793"/>
      <c r="D294" s="4560"/>
      <c r="E294" s="1478">
        <v>0</v>
      </c>
      <c r="F294" s="1478">
        <v>506078</v>
      </c>
      <c r="G294" s="1688">
        <v>506077.2</v>
      </c>
      <c r="H294" s="1389">
        <f t="shared" si="32"/>
        <v>0.99999841921601018</v>
      </c>
    </row>
    <row r="295" spans="1:9" s="1" customFormat="1">
      <c r="A295" s="1087"/>
      <c r="B295" s="4544" t="s">
        <v>67</v>
      </c>
      <c r="C295" s="4545"/>
      <c r="D295" s="1691"/>
      <c r="E295" s="1570">
        <f>SUM(E296)</f>
        <v>0</v>
      </c>
      <c r="F295" s="1570">
        <f>SUM(F296)</f>
        <v>5800000</v>
      </c>
      <c r="G295" s="1583">
        <f>SUM(G296)</f>
        <v>5800000</v>
      </c>
      <c r="H295" s="1474">
        <f t="shared" si="32"/>
        <v>1</v>
      </c>
    </row>
    <row r="296" spans="1:9" s="1" customFormat="1" ht="42.75" customHeight="1" thickBot="1">
      <c r="A296" s="1692"/>
      <c r="B296" s="1693"/>
      <c r="C296" s="1694" t="s">
        <v>305</v>
      </c>
      <c r="D296" s="1695">
        <v>6180</v>
      </c>
      <c r="E296" s="893">
        <v>0</v>
      </c>
      <c r="F296" s="894">
        <v>5800000</v>
      </c>
      <c r="G296" s="895">
        <v>5800000</v>
      </c>
      <c r="H296" s="896">
        <f t="shared" si="32"/>
        <v>1</v>
      </c>
    </row>
    <row r="297" spans="1:9" s="1" customFormat="1" ht="15.75" thickBot="1">
      <c r="A297" s="1679"/>
      <c r="B297" s="1680">
        <v>75804</v>
      </c>
      <c r="C297" s="1104" t="s">
        <v>178</v>
      </c>
      <c r="D297" s="1105"/>
      <c r="E297" s="1110">
        <f t="shared" ref="E297:G297" si="34">SUM(E298,E300)</f>
        <v>385030326</v>
      </c>
      <c r="F297" s="1110">
        <f t="shared" si="34"/>
        <v>385030326</v>
      </c>
      <c r="G297" s="1107">
        <f t="shared" si="34"/>
        <v>385030326</v>
      </c>
      <c r="H297" s="1108">
        <f t="shared" si="32"/>
        <v>1</v>
      </c>
    </row>
    <row r="298" spans="1:9" s="1" customFormat="1">
      <c r="A298" s="1087"/>
      <c r="B298" s="4547" t="s">
        <v>21</v>
      </c>
      <c r="C298" s="4547"/>
      <c r="D298" s="1681"/>
      <c r="E298" s="1412">
        <f t="shared" ref="E298:G298" si="35">SUM(E299)</f>
        <v>385030326</v>
      </c>
      <c r="F298" s="1412">
        <f t="shared" si="35"/>
        <v>385030326</v>
      </c>
      <c r="G298" s="285">
        <f t="shared" si="35"/>
        <v>385030326</v>
      </c>
      <c r="H298" s="1698">
        <f t="shared" si="32"/>
        <v>1</v>
      </c>
    </row>
    <row r="299" spans="1:9" s="1" customFormat="1">
      <c r="A299" s="1087"/>
      <c r="B299" s="1699"/>
      <c r="C299" s="948" t="s">
        <v>175</v>
      </c>
      <c r="D299" s="876">
        <v>2920</v>
      </c>
      <c r="E299" s="1391">
        <v>385030326</v>
      </c>
      <c r="F299" s="1387">
        <v>385030326</v>
      </c>
      <c r="G299" s="1388">
        <v>385030326</v>
      </c>
      <c r="H299" s="1389">
        <f t="shared" si="32"/>
        <v>1</v>
      </c>
    </row>
    <row r="300" spans="1:9" s="1" customFormat="1" ht="15.75" thickBot="1">
      <c r="A300" s="1087"/>
      <c r="B300" s="4530" t="s">
        <v>26</v>
      </c>
      <c r="C300" s="4548"/>
      <c r="D300" s="1685"/>
      <c r="E300" s="1700">
        <v>0</v>
      </c>
      <c r="F300" s="1429">
        <v>0</v>
      </c>
      <c r="G300" s="1407">
        <v>0</v>
      </c>
      <c r="H300" s="1419"/>
    </row>
    <row r="301" spans="1:9" s="1" customFormat="1" ht="15.75" thickBot="1">
      <c r="A301" s="1087"/>
      <c r="B301" s="829">
        <v>75814</v>
      </c>
      <c r="C301" s="812" t="s">
        <v>179</v>
      </c>
      <c r="D301" s="813"/>
      <c r="E301" s="437">
        <f>SUM(E305,E302)</f>
        <v>10000000</v>
      </c>
      <c r="F301" s="437">
        <f>SUM(F305,F302)</f>
        <v>47528974</v>
      </c>
      <c r="G301" s="438">
        <f>SUM(G305,G302)</f>
        <v>51712381.920000002</v>
      </c>
      <c r="H301" s="439">
        <f t="shared" si="32"/>
        <v>1.0880180565227433</v>
      </c>
    </row>
    <row r="302" spans="1:9" s="1" customFormat="1">
      <c r="A302" s="1087"/>
      <c r="B302" s="4546" t="s">
        <v>21</v>
      </c>
      <c r="C302" s="4547"/>
      <c r="D302" s="1686"/>
      <c r="E302" s="1412">
        <f>SUM(E303:E304)</f>
        <v>10000000</v>
      </c>
      <c r="F302" s="1412">
        <f>SUM(F303:F304)</f>
        <v>47528974</v>
      </c>
      <c r="G302" s="285">
        <f>SUM(G303:G304)</f>
        <v>51712381.920000002</v>
      </c>
      <c r="H302" s="1384">
        <f t="shared" si="32"/>
        <v>1.0880180565227433</v>
      </c>
    </row>
    <row r="303" spans="1:9" ht="27" customHeight="1">
      <c r="A303" s="148"/>
      <c r="B303" s="4787"/>
      <c r="C303" s="1701" t="s">
        <v>180</v>
      </c>
      <c r="D303" s="1702" t="s">
        <v>41</v>
      </c>
      <c r="E303" s="1386">
        <v>10000000</v>
      </c>
      <c r="F303" s="1513">
        <v>46826154</v>
      </c>
      <c r="G303" s="1630">
        <v>51019065.450000003</v>
      </c>
      <c r="H303" s="1515">
        <f t="shared" si="32"/>
        <v>1.0895420847503299</v>
      </c>
    </row>
    <row r="304" spans="1:9" s="1" customFormat="1" ht="30.75" customHeight="1">
      <c r="A304" s="1087"/>
      <c r="B304" s="4788"/>
      <c r="C304" s="1703" t="s">
        <v>1063</v>
      </c>
      <c r="D304" s="1704" t="s">
        <v>304</v>
      </c>
      <c r="E304" s="1391">
        <v>0</v>
      </c>
      <c r="F304" s="1387">
        <v>702820</v>
      </c>
      <c r="G304" s="1388">
        <v>693316.47</v>
      </c>
      <c r="H304" s="1389">
        <f t="shared" si="32"/>
        <v>0.98647800290259235</v>
      </c>
      <c r="I304" s="1088"/>
    </row>
    <row r="305" spans="1:23" s="1" customFormat="1" ht="15.75" thickBot="1">
      <c r="A305" s="1087"/>
      <c r="B305" s="4526" t="s">
        <v>26</v>
      </c>
      <c r="C305" s="4548"/>
      <c r="D305" s="1685"/>
      <c r="E305" s="717">
        <v>0</v>
      </c>
      <c r="F305" s="717">
        <v>0</v>
      </c>
      <c r="G305" s="1407">
        <v>0</v>
      </c>
      <c r="H305" s="1419"/>
    </row>
    <row r="306" spans="1:23" s="12" customFormat="1" ht="15.75" thickBot="1">
      <c r="A306" s="148"/>
      <c r="B306" s="1103">
        <v>75819</v>
      </c>
      <c r="C306" s="1104" t="s">
        <v>181</v>
      </c>
      <c r="D306" s="1105"/>
      <c r="E306" s="1110">
        <f t="shared" ref="E306:G306" si="36">SUM(E307,E309)</f>
        <v>20863135</v>
      </c>
      <c r="F306" s="1110">
        <f t="shared" si="36"/>
        <v>20863135</v>
      </c>
      <c r="G306" s="1107">
        <f t="shared" si="36"/>
        <v>20863135</v>
      </c>
      <c r="H306" s="1108">
        <f t="shared" si="32"/>
        <v>1</v>
      </c>
    </row>
    <row r="307" spans="1:23" s="12" customFormat="1">
      <c r="A307" s="148"/>
      <c r="B307" s="4547" t="s">
        <v>21</v>
      </c>
      <c r="C307" s="4547"/>
      <c r="D307" s="1681"/>
      <c r="E307" s="1412">
        <f t="shared" ref="E307:G307" si="37">SUM(E308)</f>
        <v>20863135</v>
      </c>
      <c r="F307" s="1412">
        <f t="shared" si="37"/>
        <v>20863135</v>
      </c>
      <c r="G307" s="285">
        <f t="shared" si="37"/>
        <v>20863135</v>
      </c>
      <c r="H307" s="1384">
        <f t="shared" si="32"/>
        <v>1</v>
      </c>
    </row>
    <row r="308" spans="1:23" s="12" customFormat="1" ht="39.75" customHeight="1">
      <c r="A308" s="148"/>
      <c r="B308" s="1682"/>
      <c r="C308" s="1689" t="s">
        <v>177</v>
      </c>
      <c r="D308" s="1705" t="s">
        <v>182</v>
      </c>
      <c r="E308" s="1391">
        <v>20863135</v>
      </c>
      <c r="F308" s="1572">
        <v>20863135</v>
      </c>
      <c r="G308" s="1573">
        <v>20863135</v>
      </c>
      <c r="H308" s="1389">
        <f t="shared" si="32"/>
        <v>1</v>
      </c>
    </row>
    <row r="309" spans="1:23" s="12" customFormat="1" ht="15.75" thickBot="1">
      <c r="A309" s="148"/>
      <c r="B309" s="4548" t="s">
        <v>26</v>
      </c>
      <c r="C309" s="4548"/>
      <c r="D309" s="1685"/>
      <c r="E309" s="717">
        <v>0</v>
      </c>
      <c r="F309" s="717">
        <v>0</v>
      </c>
      <c r="G309" s="1597">
        <v>0</v>
      </c>
      <c r="H309" s="1408"/>
    </row>
    <row r="310" spans="1:23" s="12" customFormat="1" ht="15.75" thickBot="1">
      <c r="A310" s="148"/>
      <c r="B310" s="429">
        <v>75833</v>
      </c>
      <c r="C310" s="812" t="s">
        <v>183</v>
      </c>
      <c r="D310" s="813"/>
      <c r="E310" s="810">
        <f>E311+E313</f>
        <v>141713941</v>
      </c>
      <c r="F310" s="810">
        <f>F311+F313</f>
        <v>141713941</v>
      </c>
      <c r="G310" s="1107">
        <f t="shared" ref="G310" si="38">SUM(G311,G313)</f>
        <v>141713941</v>
      </c>
      <c r="H310" s="1108">
        <f t="shared" si="32"/>
        <v>1</v>
      </c>
    </row>
    <row r="311" spans="1:23" s="12" customFormat="1">
      <c r="A311" s="148"/>
      <c r="B311" s="4547" t="s">
        <v>21</v>
      </c>
      <c r="C311" s="4546"/>
      <c r="D311" s="384"/>
      <c r="E311" s="1412">
        <f>E312</f>
        <v>141713941</v>
      </c>
      <c r="F311" s="1412">
        <f t="shared" ref="F311:G311" si="39">SUM(F312)</f>
        <v>141713941</v>
      </c>
      <c r="G311" s="285">
        <f t="shared" si="39"/>
        <v>141713941</v>
      </c>
      <c r="H311" s="1384">
        <f t="shared" si="32"/>
        <v>1</v>
      </c>
    </row>
    <row r="312" spans="1:23">
      <c r="A312" s="148"/>
      <c r="B312" s="1682"/>
      <c r="C312" s="1706" t="s">
        <v>175</v>
      </c>
      <c r="D312" s="1705" t="s">
        <v>184</v>
      </c>
      <c r="E312" s="1391">
        <v>141713941</v>
      </c>
      <c r="F312" s="1387">
        <v>141713941</v>
      </c>
      <c r="G312" s="1388">
        <v>141713941</v>
      </c>
      <c r="H312" s="1389">
        <f t="shared" si="32"/>
        <v>1</v>
      </c>
    </row>
    <row r="313" spans="1:23" ht="15.75" thickBot="1">
      <c r="A313" s="148"/>
      <c r="B313" s="4548" t="s">
        <v>26</v>
      </c>
      <c r="C313" s="4526"/>
      <c r="D313" s="1086"/>
      <c r="E313" s="717">
        <v>0</v>
      </c>
      <c r="F313" s="717">
        <v>0</v>
      </c>
      <c r="G313" s="1597">
        <v>0</v>
      </c>
      <c r="H313" s="1408"/>
    </row>
    <row r="314" spans="1:23" ht="39" thickBot="1">
      <c r="A314" s="148"/>
      <c r="B314" s="429">
        <v>75863</v>
      </c>
      <c r="C314" s="812" t="s">
        <v>185</v>
      </c>
      <c r="D314" s="813"/>
      <c r="E314" s="437">
        <f>SUM(E315,E319)</f>
        <v>301640701</v>
      </c>
      <c r="F314" s="437">
        <f>SUM(F315,F319)</f>
        <v>272674180</v>
      </c>
      <c r="G314" s="1107">
        <f>SUM(G315,G319)</f>
        <v>245171889.72000003</v>
      </c>
      <c r="H314" s="1108">
        <f t="shared" si="32"/>
        <v>0.89913863395500093</v>
      </c>
    </row>
    <row r="315" spans="1:23" s="12" customFormat="1">
      <c r="A315" s="148"/>
      <c r="B315" s="4522" t="s">
        <v>21</v>
      </c>
      <c r="C315" s="4542"/>
      <c r="D315" s="1707"/>
      <c r="E315" s="1400">
        <f>SUM(E316:E318)</f>
        <v>12372377</v>
      </c>
      <c r="F315" s="1400">
        <f>SUM(F316:F318)</f>
        <v>14604193</v>
      </c>
      <c r="G315" s="1401">
        <f>SUM(G316:G318)</f>
        <v>14179805.52</v>
      </c>
      <c r="H315" s="1384">
        <f t="shared" si="32"/>
        <v>0.9709407099728139</v>
      </c>
    </row>
    <row r="316" spans="1:23" ht="51">
      <c r="A316" s="148"/>
      <c r="B316" s="1102"/>
      <c r="C316" s="1708" t="s">
        <v>186</v>
      </c>
      <c r="D316" s="876">
        <v>2007</v>
      </c>
      <c r="E316" s="1391">
        <v>4080466</v>
      </c>
      <c r="F316" s="1387">
        <v>3703632</v>
      </c>
      <c r="G316" s="1388">
        <v>3589176.69</v>
      </c>
      <c r="H316" s="1389">
        <f t="shared" si="32"/>
        <v>0.96909646800762062</v>
      </c>
    </row>
    <row r="317" spans="1:23" ht="51.75" thickBot="1">
      <c r="A317" s="1709"/>
      <c r="B317" s="1710"/>
      <c r="C317" s="1692" t="s">
        <v>186</v>
      </c>
      <c r="D317" s="1695">
        <v>2057</v>
      </c>
      <c r="E317" s="893">
        <v>4761911</v>
      </c>
      <c r="F317" s="894">
        <v>7192568</v>
      </c>
      <c r="G317" s="895">
        <v>6882703.3899999997</v>
      </c>
      <c r="H317" s="896">
        <f t="shared" si="32"/>
        <v>0.95691877921765911</v>
      </c>
    </row>
    <row r="318" spans="1:23" ht="51">
      <c r="A318" s="1711"/>
      <c r="B318" s="1712"/>
      <c r="C318" s="1713" t="s">
        <v>543</v>
      </c>
      <c r="D318" s="1714">
        <v>2058</v>
      </c>
      <c r="E318" s="1576">
        <v>3530000</v>
      </c>
      <c r="F318" s="1577">
        <v>3707993</v>
      </c>
      <c r="G318" s="1578">
        <v>3707925.44</v>
      </c>
      <c r="H318" s="1579">
        <f t="shared" si="32"/>
        <v>0.999981779900879</v>
      </c>
    </row>
    <row r="319" spans="1:23">
      <c r="A319" s="148"/>
      <c r="B319" s="4567" t="s">
        <v>67</v>
      </c>
      <c r="C319" s="4672"/>
      <c r="D319" s="1715"/>
      <c r="E319" s="1570">
        <f>SUM(E320:E323)</f>
        <v>289268324</v>
      </c>
      <c r="F319" s="1570">
        <f>SUM(F320:F323)</f>
        <v>258069987</v>
      </c>
      <c r="G319" s="1571">
        <f>SUM(G320:G323)</f>
        <v>230992084.20000002</v>
      </c>
      <c r="H319" s="1384">
        <f t="shared" si="32"/>
        <v>0.8950753510132119</v>
      </c>
    </row>
    <row r="320" spans="1:23" s="12" customFormat="1" ht="51">
      <c r="A320" s="148"/>
      <c r="B320" s="1102"/>
      <c r="C320" s="1716" t="s">
        <v>188</v>
      </c>
      <c r="D320" s="1684">
        <v>6209</v>
      </c>
      <c r="E320" s="1391">
        <v>12326852</v>
      </c>
      <c r="F320" s="1387">
        <v>7128867</v>
      </c>
      <c r="G320" s="1388">
        <v>7050229.3499999996</v>
      </c>
      <c r="H320" s="1389">
        <f t="shared" si="32"/>
        <v>0.98896912370507117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78" s="12" customFormat="1" ht="48.75" customHeight="1">
      <c r="A321" s="148"/>
      <c r="B321" s="854"/>
      <c r="C321" s="877" t="s">
        <v>186</v>
      </c>
      <c r="D321" s="4571">
        <v>6257</v>
      </c>
      <c r="E321" s="1416">
        <v>271797131</v>
      </c>
      <c r="F321" s="1468">
        <v>245796779</v>
      </c>
      <c r="G321" s="1469">
        <v>218397539.93000001</v>
      </c>
      <c r="H321" s="1450">
        <f t="shared" si="32"/>
        <v>0.88852889292743742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78" s="12" customFormat="1" ht="59.25" customHeight="1">
      <c r="A322" s="148"/>
      <c r="B322" s="854"/>
      <c r="C322" s="1717" t="s">
        <v>187</v>
      </c>
      <c r="D322" s="4564"/>
      <c r="E322" s="1416">
        <v>0</v>
      </c>
      <c r="F322" s="1468">
        <v>0</v>
      </c>
      <c r="G322" s="1469">
        <v>399973.93</v>
      </c>
      <c r="H322" s="145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78" s="12" customFormat="1" ht="51.75" thickBot="1">
      <c r="A323" s="148"/>
      <c r="B323" s="22"/>
      <c r="C323" s="1718" t="s">
        <v>190</v>
      </c>
      <c r="D323" s="1684">
        <v>6259</v>
      </c>
      <c r="E323" s="1391">
        <v>5144341</v>
      </c>
      <c r="F323" s="1387">
        <v>5144341</v>
      </c>
      <c r="G323" s="1388">
        <v>5144340.99</v>
      </c>
      <c r="H323" s="1389">
        <f t="shared" si="32"/>
        <v>0.9999999980561165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78" ht="37.5" customHeight="1" thickBot="1">
      <c r="A324" s="148"/>
      <c r="B324" s="1103">
        <v>75864</v>
      </c>
      <c r="C324" s="1104" t="s">
        <v>191</v>
      </c>
      <c r="D324" s="1105"/>
      <c r="E324" s="1110">
        <f>SUM(E325,E329)</f>
        <v>79553233</v>
      </c>
      <c r="F324" s="1110">
        <f>SUM(F325,F329)</f>
        <v>90242056</v>
      </c>
      <c r="G324" s="1107">
        <f>SUM(G325,G329)</f>
        <v>86691815.769999996</v>
      </c>
      <c r="H324" s="1108">
        <f t="shared" si="32"/>
        <v>0.96065869520969238</v>
      </c>
    </row>
    <row r="325" spans="1:78" s="12" customFormat="1">
      <c r="A325" s="148"/>
      <c r="B325" s="4522" t="s">
        <v>21</v>
      </c>
      <c r="C325" s="4542"/>
      <c r="D325" s="1681"/>
      <c r="E325" s="1400">
        <f>SUM(E326:E328)</f>
        <v>68334143</v>
      </c>
      <c r="F325" s="1400">
        <f>SUM(F326:F328)</f>
        <v>75457396</v>
      </c>
      <c r="G325" s="1476">
        <f>SUM(G326:G328)</f>
        <v>71955329.049999997</v>
      </c>
      <c r="H325" s="1384">
        <f t="shared" si="32"/>
        <v>0.95358881785424976</v>
      </c>
    </row>
    <row r="326" spans="1:78" s="12" customFormat="1" ht="54" customHeight="1">
      <c r="A326" s="148"/>
      <c r="B326" s="4569"/>
      <c r="C326" s="1717" t="s">
        <v>188</v>
      </c>
      <c r="D326" s="1684">
        <v>2009</v>
      </c>
      <c r="E326" s="1391">
        <v>9383296</v>
      </c>
      <c r="F326" s="1387">
        <v>12869575</v>
      </c>
      <c r="G326" s="1388">
        <v>12231947.26</v>
      </c>
      <c r="H326" s="1389">
        <f t="shared" si="32"/>
        <v>0.95045463894495352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</row>
    <row r="327" spans="1:78" s="12" customFormat="1" ht="49.5" customHeight="1">
      <c r="A327" s="148"/>
      <c r="B327" s="4570"/>
      <c r="C327" s="1717" t="s">
        <v>186</v>
      </c>
      <c r="D327" s="1684">
        <v>2057</v>
      </c>
      <c r="E327" s="1391">
        <v>18216590</v>
      </c>
      <c r="F327" s="1387">
        <v>5798455</v>
      </c>
      <c r="G327" s="1388">
        <v>4600178.3099999996</v>
      </c>
      <c r="H327" s="1389">
        <f t="shared" si="32"/>
        <v>0.79334552221238241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</row>
    <row r="328" spans="1:78" s="19" customFormat="1" ht="48.75" customHeight="1" thickBot="1">
      <c r="A328" s="1709"/>
      <c r="B328" s="4785"/>
      <c r="C328" s="1719" t="s">
        <v>189</v>
      </c>
      <c r="D328" s="1720">
        <v>2058</v>
      </c>
      <c r="E328" s="893">
        <v>40734257</v>
      </c>
      <c r="F328" s="894">
        <v>56789366</v>
      </c>
      <c r="G328" s="895">
        <v>55123203.479999997</v>
      </c>
      <c r="H328" s="896">
        <f t="shared" si="32"/>
        <v>0.97066065995524575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</row>
    <row r="329" spans="1:78">
      <c r="A329" s="1711"/>
      <c r="B329" s="4522" t="s">
        <v>67</v>
      </c>
      <c r="C329" s="4542"/>
      <c r="D329" s="1721"/>
      <c r="E329" s="1412">
        <f>SUM(E330:E331)</f>
        <v>11219090</v>
      </c>
      <c r="F329" s="1412">
        <f>SUM(F330:F331)</f>
        <v>14784660</v>
      </c>
      <c r="G329" s="285">
        <f>SUM(G330:G331)</f>
        <v>14736486.720000001</v>
      </c>
      <c r="H329" s="1486">
        <f t="shared" si="32"/>
        <v>0.99674167143512271</v>
      </c>
    </row>
    <row r="330" spans="1:78" ht="54" customHeight="1">
      <c r="A330" s="148"/>
      <c r="B330" s="1094"/>
      <c r="C330" s="1722" t="s">
        <v>192</v>
      </c>
      <c r="D330" s="1684">
        <v>6209</v>
      </c>
      <c r="E330" s="1391">
        <v>0</v>
      </c>
      <c r="F330" s="1387">
        <v>101658</v>
      </c>
      <c r="G330" s="1388">
        <v>101171.07</v>
      </c>
      <c r="H330" s="1389">
        <f t="shared" si="32"/>
        <v>0.9952101162722069</v>
      </c>
    </row>
    <row r="331" spans="1:78" ht="47.25" customHeight="1" thickBot="1">
      <c r="A331" s="148"/>
      <c r="B331" s="878"/>
      <c r="C331" s="1614" t="s">
        <v>193</v>
      </c>
      <c r="D331" s="1695">
        <v>6258</v>
      </c>
      <c r="E331" s="893">
        <v>11219090</v>
      </c>
      <c r="F331" s="894">
        <v>14683002</v>
      </c>
      <c r="G331" s="895">
        <v>14635315.65</v>
      </c>
      <c r="H331" s="896">
        <f t="shared" si="32"/>
        <v>0.99675227518187359</v>
      </c>
    </row>
    <row r="332" spans="1:78" ht="26.25" thickBot="1">
      <c r="A332" s="148"/>
      <c r="B332" s="1103">
        <v>75865</v>
      </c>
      <c r="C332" s="1104" t="s">
        <v>545</v>
      </c>
      <c r="D332" s="1105"/>
      <c r="E332" s="1110">
        <f>SUM(E333,E335)</f>
        <v>17000000</v>
      </c>
      <c r="F332" s="1110">
        <f>SUM(F333,F335)</f>
        <v>1132364</v>
      </c>
      <c r="G332" s="1107">
        <f>SUM(G333,G335)</f>
        <v>0</v>
      </c>
      <c r="H332" s="1108">
        <f t="shared" ref="H332:H345" si="40">G332/F332</f>
        <v>0</v>
      </c>
    </row>
    <row r="333" spans="1:78" s="12" customFormat="1">
      <c r="A333" s="148"/>
      <c r="B333" s="4522" t="s">
        <v>21</v>
      </c>
      <c r="C333" s="4542"/>
      <c r="D333" s="1681"/>
      <c r="E333" s="1400">
        <f>E334</f>
        <v>16000000</v>
      </c>
      <c r="F333" s="1400">
        <f>F334</f>
        <v>0</v>
      </c>
      <c r="G333" s="1476">
        <f>G334</f>
        <v>0</v>
      </c>
      <c r="H333" s="1384"/>
    </row>
    <row r="334" spans="1:78" s="19" customFormat="1" ht="25.5">
      <c r="A334" s="148"/>
      <c r="B334" s="1723"/>
      <c r="C334" s="1724" t="s">
        <v>544</v>
      </c>
      <c r="D334" s="1697">
        <v>2058</v>
      </c>
      <c r="E334" s="1391">
        <v>16000000</v>
      </c>
      <c r="F334" s="1387">
        <v>0</v>
      </c>
      <c r="G334" s="1388">
        <v>0</v>
      </c>
      <c r="H334" s="1389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</row>
    <row r="335" spans="1:78">
      <c r="A335" s="148"/>
      <c r="B335" s="4567" t="s">
        <v>67</v>
      </c>
      <c r="C335" s="4547"/>
      <c r="D335" s="1725"/>
      <c r="E335" s="1423">
        <f>SUM(E336:E337)</f>
        <v>1000000</v>
      </c>
      <c r="F335" s="1423">
        <f>SUM(F336:F337)</f>
        <v>1132364</v>
      </c>
      <c r="G335" s="1625">
        <f>G337</f>
        <v>0</v>
      </c>
      <c r="H335" s="1384">
        <f t="shared" si="40"/>
        <v>0</v>
      </c>
    </row>
    <row r="336" spans="1:78" ht="38.25">
      <c r="A336" s="197"/>
      <c r="B336" s="1726"/>
      <c r="C336" s="877" t="s">
        <v>1014</v>
      </c>
      <c r="D336" s="1690">
        <v>6257</v>
      </c>
      <c r="E336" s="879">
        <v>0</v>
      </c>
      <c r="F336" s="423">
        <v>1132364</v>
      </c>
      <c r="G336" s="880">
        <v>0</v>
      </c>
      <c r="H336" s="1727"/>
    </row>
    <row r="337" spans="1:78" ht="26.25" thickBot="1">
      <c r="A337" s="148"/>
      <c r="B337" s="844"/>
      <c r="C337" s="1722" t="s">
        <v>544</v>
      </c>
      <c r="D337" s="1684">
        <v>6258</v>
      </c>
      <c r="E337" s="1391">
        <v>1000000</v>
      </c>
      <c r="F337" s="1387">
        <v>0</v>
      </c>
      <c r="G337" s="1388">
        <v>0</v>
      </c>
      <c r="H337" s="1389"/>
    </row>
    <row r="338" spans="1:78" ht="26.25" thickBot="1">
      <c r="A338" s="148"/>
      <c r="B338" s="1103">
        <v>75866</v>
      </c>
      <c r="C338" s="1104" t="s">
        <v>1013</v>
      </c>
      <c r="D338" s="1105"/>
      <c r="E338" s="1110">
        <f>SUM(E339,E344)</f>
        <v>0</v>
      </c>
      <c r="F338" s="1110">
        <f>SUM(F339,F344)</f>
        <v>4129781</v>
      </c>
      <c r="G338" s="1107">
        <f>SUM(G339,G344)</f>
        <v>798743.2</v>
      </c>
      <c r="H338" s="1108">
        <f t="shared" si="40"/>
        <v>0.19341054646723396</v>
      </c>
    </row>
    <row r="339" spans="1:78" s="12" customFormat="1">
      <c r="A339" s="148"/>
      <c r="B339" s="4522" t="s">
        <v>21</v>
      </c>
      <c r="C339" s="4542"/>
      <c r="D339" s="1681"/>
      <c r="E339" s="1400">
        <f>SUM(E340:E343)</f>
        <v>0</v>
      </c>
      <c r="F339" s="1400">
        <f>SUM(F340:F343)</f>
        <v>3969541</v>
      </c>
      <c r="G339" s="1476">
        <f>SUM(G340:G343)</f>
        <v>798743.2</v>
      </c>
      <c r="H339" s="1384">
        <f t="shared" si="40"/>
        <v>0.20121802495553012</v>
      </c>
    </row>
    <row r="340" spans="1:78" s="12" customFormat="1" ht="38.25">
      <c r="A340" s="148"/>
      <c r="B340" s="4569"/>
      <c r="C340" s="1708" t="s">
        <v>1014</v>
      </c>
      <c r="D340" s="876">
        <v>2007</v>
      </c>
      <c r="E340" s="1391">
        <v>0</v>
      </c>
      <c r="F340" s="1572">
        <v>112200</v>
      </c>
      <c r="G340" s="1573">
        <v>112200</v>
      </c>
      <c r="H340" s="1389">
        <f t="shared" si="40"/>
        <v>1</v>
      </c>
    </row>
    <row r="341" spans="1:78" s="12" customFormat="1" ht="51">
      <c r="A341" s="148"/>
      <c r="B341" s="4570"/>
      <c r="C341" s="1717" t="s">
        <v>1015</v>
      </c>
      <c r="D341" s="1684">
        <v>2009</v>
      </c>
      <c r="E341" s="1391">
        <v>0</v>
      </c>
      <c r="F341" s="1387">
        <v>3101102</v>
      </c>
      <c r="G341" s="1388">
        <v>6600</v>
      </c>
      <c r="H341" s="1389">
        <f t="shared" si="40"/>
        <v>2.128275690383612E-3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</row>
    <row r="342" spans="1:78" s="12" customFormat="1" ht="38.25">
      <c r="A342" s="148"/>
      <c r="B342" s="4570"/>
      <c r="C342" s="1708" t="s">
        <v>1014</v>
      </c>
      <c r="D342" s="1684">
        <v>2057</v>
      </c>
      <c r="E342" s="1391">
        <v>0</v>
      </c>
      <c r="F342" s="1387">
        <v>720131</v>
      </c>
      <c r="G342" s="1388">
        <v>643835.73</v>
      </c>
      <c r="H342" s="1389">
        <f t="shared" si="40"/>
        <v>0.89405362357682139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</row>
    <row r="343" spans="1:78" s="20" customFormat="1" ht="39" thickBot="1">
      <c r="A343" s="1709"/>
      <c r="B343" s="4785"/>
      <c r="C343" s="1728" t="s">
        <v>1016</v>
      </c>
      <c r="D343" s="1695">
        <v>2059</v>
      </c>
      <c r="E343" s="893">
        <v>0</v>
      </c>
      <c r="F343" s="894">
        <v>36108</v>
      </c>
      <c r="G343" s="895">
        <v>36107.47</v>
      </c>
      <c r="H343" s="896">
        <f t="shared" si="40"/>
        <v>0.99998532181234079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</row>
    <row r="344" spans="1:78">
      <c r="A344" s="1711"/>
      <c r="B344" s="4522" t="s">
        <v>67</v>
      </c>
      <c r="C344" s="4542"/>
      <c r="D344" s="1721"/>
      <c r="E344" s="1412">
        <f>SUM(E345:E345)</f>
        <v>0</v>
      </c>
      <c r="F344" s="1412">
        <f>SUM(F345:F345)</f>
        <v>160240</v>
      </c>
      <c r="G344" s="285">
        <f>SUM(G345:G345)</f>
        <v>0</v>
      </c>
      <c r="H344" s="1486">
        <f t="shared" si="40"/>
        <v>0</v>
      </c>
    </row>
    <row r="345" spans="1:78" ht="52.5" customHeight="1" thickBot="1">
      <c r="A345" s="1709"/>
      <c r="B345" s="1729"/>
      <c r="C345" s="1730" t="s">
        <v>1015</v>
      </c>
      <c r="D345" s="1695">
        <v>6209</v>
      </c>
      <c r="E345" s="893">
        <v>0</v>
      </c>
      <c r="F345" s="894">
        <v>160240</v>
      </c>
      <c r="G345" s="895">
        <v>0</v>
      </c>
      <c r="H345" s="896">
        <f t="shared" si="40"/>
        <v>0</v>
      </c>
    </row>
    <row r="346" spans="1:78" ht="15.75" thickBot="1">
      <c r="A346" s="1096">
        <v>801</v>
      </c>
      <c r="B346" s="1097"/>
      <c r="C346" s="1098" t="s">
        <v>194</v>
      </c>
      <c r="D346" s="1099"/>
      <c r="E346" s="735">
        <f>SUM(E347,E352,E359,E377,E388,E392)</f>
        <v>415806</v>
      </c>
      <c r="F346" s="1100">
        <f>SUM(F347,F352,F359,F377,F388,F392)</f>
        <v>2485619</v>
      </c>
      <c r="G346" s="1101">
        <f>SUM(G347,G352,G359,G377,G388,G392)</f>
        <v>2647942.4</v>
      </c>
      <c r="H346" s="736">
        <f t="shared" si="32"/>
        <v>1.0653050206005024</v>
      </c>
    </row>
    <row r="347" spans="1:78" s="1" customFormat="1" ht="15.75" thickBot="1">
      <c r="A347" s="1731"/>
      <c r="B347" s="1680">
        <v>80102</v>
      </c>
      <c r="C347" s="1732" t="s">
        <v>195</v>
      </c>
      <c r="D347" s="1109"/>
      <c r="E347" s="1432">
        <f t="shared" ref="E347:G347" si="41">SUM(E348,E351)</f>
        <v>2500</v>
      </c>
      <c r="F347" s="1432">
        <f t="shared" si="41"/>
        <v>2500</v>
      </c>
      <c r="G347" s="383">
        <f t="shared" si="41"/>
        <v>3220.6699999999996</v>
      </c>
      <c r="H347" s="1108">
        <f t="shared" si="32"/>
        <v>1.2882679999999997</v>
      </c>
    </row>
    <row r="348" spans="1:78" s="1" customFormat="1">
      <c r="A348" s="852"/>
      <c r="B348" s="4522" t="s">
        <v>21</v>
      </c>
      <c r="C348" s="4523"/>
      <c r="D348" s="384"/>
      <c r="E348" s="1412">
        <f t="shared" ref="E348:F348" si="42">SUM(E349:E350)</f>
        <v>2500</v>
      </c>
      <c r="F348" s="1412">
        <f t="shared" si="42"/>
        <v>2500</v>
      </c>
      <c r="G348" s="285">
        <f t="shared" ref="G348" si="43">SUM(G349:G350)</f>
        <v>3220.6699999999996</v>
      </c>
      <c r="H348" s="1384">
        <f t="shared" si="32"/>
        <v>1.2882679999999997</v>
      </c>
    </row>
    <row r="349" spans="1:78" s="1" customFormat="1">
      <c r="A349" s="852"/>
      <c r="B349" s="4569"/>
      <c r="C349" s="1733" t="s">
        <v>196</v>
      </c>
      <c r="D349" s="1414" t="s">
        <v>25</v>
      </c>
      <c r="E349" s="1391">
        <v>2500</v>
      </c>
      <c r="F349" s="1387">
        <v>2500</v>
      </c>
      <c r="G349" s="1388">
        <v>3213.99</v>
      </c>
      <c r="H349" s="1389">
        <f t="shared" si="32"/>
        <v>1.285596</v>
      </c>
    </row>
    <row r="350" spans="1:78" s="1" customFormat="1" ht="30.75" customHeight="1">
      <c r="A350" s="852"/>
      <c r="B350" s="4786"/>
      <c r="C350" s="853" t="s">
        <v>197</v>
      </c>
      <c r="D350" s="231" t="s">
        <v>198</v>
      </c>
      <c r="E350" s="1416">
        <v>0</v>
      </c>
      <c r="F350" s="1387">
        <v>0</v>
      </c>
      <c r="G350" s="1388">
        <v>6.68</v>
      </c>
      <c r="H350" s="1417"/>
    </row>
    <row r="351" spans="1:78" s="1" customFormat="1" ht="15.75" thickBot="1">
      <c r="A351" s="852"/>
      <c r="B351" s="4530" t="s">
        <v>26</v>
      </c>
      <c r="C351" s="4527"/>
      <c r="D351" s="1685"/>
      <c r="E351" s="717">
        <v>0</v>
      </c>
      <c r="F351" s="717">
        <v>0</v>
      </c>
      <c r="G351" s="1734">
        <v>0</v>
      </c>
      <c r="H351" s="1474"/>
    </row>
    <row r="352" spans="1:78" s="1" customFormat="1" ht="15.75" thickBot="1">
      <c r="A352" s="852"/>
      <c r="B352" s="1680">
        <v>80130</v>
      </c>
      <c r="C352" s="1109" t="s">
        <v>199</v>
      </c>
      <c r="D352" s="1109"/>
      <c r="E352" s="1110">
        <f>SUM(E353,E358)</f>
        <v>6475</v>
      </c>
      <c r="F352" s="1110">
        <f>SUM(F353,F358)</f>
        <v>6475</v>
      </c>
      <c r="G352" s="1107">
        <f>SUM(G353,G358)</f>
        <v>64588.450000000004</v>
      </c>
      <c r="H352" s="1108">
        <f t="shared" ref="H352:H410" si="44">G352/F352</f>
        <v>9.975050193050194</v>
      </c>
    </row>
    <row r="353" spans="1:8" s="1" customFormat="1">
      <c r="A353" s="852"/>
      <c r="B353" s="4522" t="s">
        <v>21</v>
      </c>
      <c r="C353" s="4523"/>
      <c r="D353" s="384"/>
      <c r="E353" s="1412">
        <f>SUM(E354:E357)</f>
        <v>6475</v>
      </c>
      <c r="F353" s="1412">
        <f>SUM(F354:F357)</f>
        <v>6475</v>
      </c>
      <c r="G353" s="285">
        <f>SUM(G354:G357)</f>
        <v>64588.450000000004</v>
      </c>
      <c r="H353" s="1384">
        <f t="shared" si="44"/>
        <v>9.975050193050194</v>
      </c>
    </row>
    <row r="354" spans="1:8" s="1" customFormat="1">
      <c r="A354" s="852"/>
      <c r="B354" s="854"/>
      <c r="C354" s="4528" t="s">
        <v>196</v>
      </c>
      <c r="D354" s="1385" t="s">
        <v>24</v>
      </c>
      <c r="E354" s="1735">
        <v>0</v>
      </c>
      <c r="F354" s="1387">
        <v>0</v>
      </c>
      <c r="G354" s="1388">
        <v>29451</v>
      </c>
      <c r="H354" s="1417"/>
    </row>
    <row r="355" spans="1:8" s="1" customFormat="1">
      <c r="A355" s="852"/>
      <c r="B355" s="854"/>
      <c r="C355" s="4528"/>
      <c r="D355" s="1385" t="s">
        <v>45</v>
      </c>
      <c r="E355" s="1618">
        <v>0</v>
      </c>
      <c r="F355" s="1387">
        <v>0</v>
      </c>
      <c r="G355" s="1388">
        <v>21975.16</v>
      </c>
      <c r="H355" s="1417"/>
    </row>
    <row r="356" spans="1:8" s="1" customFormat="1">
      <c r="A356" s="852"/>
      <c r="B356" s="854"/>
      <c r="C356" s="4529"/>
      <c r="D356" s="1385" t="s">
        <v>25</v>
      </c>
      <c r="E356" s="1391">
        <v>6475</v>
      </c>
      <c r="F356" s="1387">
        <v>6475</v>
      </c>
      <c r="G356" s="1388">
        <v>13075.58</v>
      </c>
      <c r="H356" s="1389">
        <f t="shared" si="44"/>
        <v>2.0193945945945946</v>
      </c>
    </row>
    <row r="357" spans="1:8" s="1" customFormat="1" ht="30" customHeight="1">
      <c r="A357" s="852"/>
      <c r="B357" s="1696"/>
      <c r="C357" s="1736" t="s">
        <v>197</v>
      </c>
      <c r="D357" s="1385" t="s">
        <v>198</v>
      </c>
      <c r="E357" s="1618">
        <v>0</v>
      </c>
      <c r="F357" s="1387">
        <v>0</v>
      </c>
      <c r="G357" s="1388">
        <v>86.71</v>
      </c>
      <c r="H357" s="1417"/>
    </row>
    <row r="358" spans="1:8" s="1" customFormat="1" ht="15.75" thickBot="1">
      <c r="A358" s="852"/>
      <c r="B358" s="4530" t="s">
        <v>26</v>
      </c>
      <c r="C358" s="4527"/>
      <c r="D358" s="855"/>
      <c r="E358" s="1406">
        <v>0</v>
      </c>
      <c r="F358" s="1406">
        <v>0</v>
      </c>
      <c r="G358" s="1597">
        <v>0</v>
      </c>
      <c r="H358" s="1408"/>
    </row>
    <row r="359" spans="1:8" s="1" customFormat="1" ht="15.75" thickBot="1">
      <c r="A359" s="852"/>
      <c r="B359" s="1680">
        <v>80146</v>
      </c>
      <c r="C359" s="1109" t="s">
        <v>201</v>
      </c>
      <c r="D359" s="1109"/>
      <c r="E359" s="1110">
        <f>SUM(E360,E375)</f>
        <v>153135</v>
      </c>
      <c r="F359" s="1110">
        <f>SUM(F360,F375)</f>
        <v>1950463</v>
      </c>
      <c r="G359" s="1107">
        <f>SUM(G360,G375)</f>
        <v>1945955.07</v>
      </c>
      <c r="H359" s="1108">
        <f t="shared" si="44"/>
        <v>0.99768878978991149</v>
      </c>
    </row>
    <row r="360" spans="1:8" s="1" customFormat="1">
      <c r="A360" s="852"/>
      <c r="B360" s="4531" t="s">
        <v>21</v>
      </c>
      <c r="C360" s="4523"/>
      <c r="D360" s="1737"/>
      <c r="E360" s="1400">
        <f>SUM(E361:E374)</f>
        <v>153135</v>
      </c>
      <c r="F360" s="1400">
        <f>SUM(F361:F374)</f>
        <v>1950463</v>
      </c>
      <c r="G360" s="1401">
        <f>SUM(G361:G374)</f>
        <v>1944385.96</v>
      </c>
      <c r="H360" s="1384">
        <f t="shared" si="44"/>
        <v>0.99688430900765612</v>
      </c>
    </row>
    <row r="361" spans="1:8" s="1" customFormat="1">
      <c r="A361" s="852"/>
      <c r="B361" s="1738"/>
      <c r="C361" s="4579" t="s">
        <v>196</v>
      </c>
      <c r="D361" s="1739" t="s">
        <v>87</v>
      </c>
      <c r="E361" s="1391">
        <v>0</v>
      </c>
      <c r="F361" s="1387">
        <v>0</v>
      </c>
      <c r="G361" s="1388">
        <v>4050</v>
      </c>
      <c r="H361" s="1389"/>
    </row>
    <row r="362" spans="1:8" s="1" customFormat="1">
      <c r="A362" s="852"/>
      <c r="B362" s="814"/>
      <c r="C362" s="4528"/>
      <c r="D362" s="1739" t="s">
        <v>23</v>
      </c>
      <c r="E362" s="1391">
        <v>4657</v>
      </c>
      <c r="F362" s="1387">
        <v>4657</v>
      </c>
      <c r="G362" s="1388">
        <v>2835.6</v>
      </c>
      <c r="H362" s="1389">
        <f t="shared" si="44"/>
        <v>0.60888984324672535</v>
      </c>
    </row>
    <row r="363" spans="1:8" s="1" customFormat="1">
      <c r="A363" s="852"/>
      <c r="B363" s="814"/>
      <c r="C363" s="4528"/>
      <c r="D363" s="1739" t="s">
        <v>32</v>
      </c>
      <c r="E363" s="1391">
        <v>0</v>
      </c>
      <c r="F363" s="1387">
        <v>0</v>
      </c>
      <c r="G363" s="1388">
        <v>44859.13</v>
      </c>
      <c r="H363" s="1389"/>
    </row>
    <row r="364" spans="1:8" s="1" customFormat="1" ht="15.75" thickBot="1">
      <c r="A364" s="1740"/>
      <c r="B364" s="1741"/>
      <c r="C364" s="4657"/>
      <c r="D364" s="1742" t="s">
        <v>25</v>
      </c>
      <c r="E364" s="893">
        <v>2835</v>
      </c>
      <c r="F364" s="894">
        <v>2835</v>
      </c>
      <c r="G364" s="895">
        <v>6003.32</v>
      </c>
      <c r="H364" s="896">
        <f t="shared" si="44"/>
        <v>2.1175731922398588</v>
      </c>
    </row>
    <row r="365" spans="1:8" ht="53.25" customHeight="1">
      <c r="A365" s="1743"/>
      <c r="B365" s="1744"/>
      <c r="C365" s="1745" t="s">
        <v>202</v>
      </c>
      <c r="D365" s="4789" t="s">
        <v>200</v>
      </c>
      <c r="E365" s="1607">
        <v>18808</v>
      </c>
      <c r="F365" s="1577">
        <v>71369</v>
      </c>
      <c r="G365" s="1578">
        <v>18808</v>
      </c>
      <c r="H365" s="1579">
        <f t="shared" si="44"/>
        <v>0.2635317855091146</v>
      </c>
    </row>
    <row r="366" spans="1:8" ht="45" customHeight="1">
      <c r="A366" s="21"/>
      <c r="B366" s="24"/>
      <c r="C366" s="1746" t="s">
        <v>302</v>
      </c>
      <c r="D366" s="4790"/>
      <c r="E366" s="1465">
        <v>104449</v>
      </c>
      <c r="F366" s="1387">
        <v>149188</v>
      </c>
      <c r="G366" s="1388">
        <v>127166.61</v>
      </c>
      <c r="H366" s="1389">
        <f t="shared" ref="H366" si="45">G366/F366</f>
        <v>0.85239168029600232</v>
      </c>
    </row>
    <row r="367" spans="1:8" ht="54" customHeight="1">
      <c r="A367" s="21"/>
      <c r="B367" s="24"/>
      <c r="C367" s="1746" t="s">
        <v>1018</v>
      </c>
      <c r="D367" s="4790"/>
      <c r="E367" s="1465">
        <v>0</v>
      </c>
      <c r="F367" s="1387">
        <v>0</v>
      </c>
      <c r="G367" s="1388">
        <v>65482.41</v>
      </c>
      <c r="H367" s="1389"/>
    </row>
    <row r="368" spans="1:8" ht="46.5" customHeight="1">
      <c r="A368" s="21"/>
      <c r="B368" s="24"/>
      <c r="C368" s="1746" t="s">
        <v>1003</v>
      </c>
      <c r="D368" s="4791"/>
      <c r="E368" s="1465">
        <v>0</v>
      </c>
      <c r="F368" s="1387">
        <v>177291</v>
      </c>
      <c r="G368" s="1388">
        <v>177284.6</v>
      </c>
      <c r="H368" s="1389">
        <f t="shared" ref="H368" si="46">G368/F368</f>
        <v>0.99996390115685518</v>
      </c>
    </row>
    <row r="369" spans="1:8" ht="42.75" customHeight="1">
      <c r="A369" s="21"/>
      <c r="B369" s="24"/>
      <c r="C369" s="1736" t="s">
        <v>203</v>
      </c>
      <c r="D369" s="4784" t="s">
        <v>138</v>
      </c>
      <c r="E369" s="1416">
        <v>3416</v>
      </c>
      <c r="F369" s="1468">
        <v>12960</v>
      </c>
      <c r="G369" s="1469">
        <v>3416</v>
      </c>
      <c r="H369" s="1450">
        <f t="shared" si="44"/>
        <v>0.26358024691358023</v>
      </c>
    </row>
    <row r="370" spans="1:8" ht="41.25" customHeight="1">
      <c r="A370" s="21"/>
      <c r="B370" s="24"/>
      <c r="C370" s="1746" t="s">
        <v>303</v>
      </c>
      <c r="D370" s="4784"/>
      <c r="E370" s="1416">
        <v>18970</v>
      </c>
      <c r="F370" s="1387">
        <v>27095</v>
      </c>
      <c r="G370" s="1388">
        <v>23095.21</v>
      </c>
      <c r="H370" s="1389">
        <f t="shared" si="44"/>
        <v>0.85237903672264248</v>
      </c>
    </row>
    <row r="371" spans="1:8" ht="50.25" customHeight="1">
      <c r="A371" s="21"/>
      <c r="B371" s="24"/>
      <c r="C371" s="1746" t="s">
        <v>1019</v>
      </c>
      <c r="D371" s="4784"/>
      <c r="E371" s="1416">
        <v>0</v>
      </c>
      <c r="F371" s="1387">
        <v>0</v>
      </c>
      <c r="G371" s="1388">
        <v>11891.84</v>
      </c>
      <c r="H371" s="1389"/>
    </row>
    <row r="372" spans="1:8" ht="41.25" customHeight="1">
      <c r="A372" s="21"/>
      <c r="B372" s="24"/>
      <c r="C372" s="1746" t="s">
        <v>1004</v>
      </c>
      <c r="D372" s="4553"/>
      <c r="E372" s="1416">
        <v>0</v>
      </c>
      <c r="F372" s="1387">
        <v>32203</v>
      </c>
      <c r="G372" s="1388">
        <v>32197.37</v>
      </c>
      <c r="H372" s="1389">
        <f>G372/F372</f>
        <v>0.99982517156786632</v>
      </c>
    </row>
    <row r="373" spans="1:8" s="1" customFormat="1" ht="39" customHeight="1">
      <c r="A373" s="852"/>
      <c r="B373" s="814"/>
      <c r="C373" s="1749" t="s">
        <v>140</v>
      </c>
      <c r="D373" s="856" t="s">
        <v>204</v>
      </c>
      <c r="E373" s="1391">
        <v>0</v>
      </c>
      <c r="F373" s="1387">
        <v>1472865</v>
      </c>
      <c r="G373" s="1621">
        <v>1426386.47</v>
      </c>
      <c r="H373" s="1450">
        <f t="shared" si="44"/>
        <v>0.96844345544228427</v>
      </c>
    </row>
    <row r="374" spans="1:8" s="1" customFormat="1" ht="27.75" customHeight="1">
      <c r="A374" s="852"/>
      <c r="B374" s="1750"/>
      <c r="C374" s="1717" t="s">
        <v>197</v>
      </c>
      <c r="D374" s="1385" t="s">
        <v>198</v>
      </c>
      <c r="E374" s="1095">
        <v>0</v>
      </c>
      <c r="F374" s="706">
        <v>0</v>
      </c>
      <c r="G374" s="1751">
        <v>909.4</v>
      </c>
      <c r="H374" s="1417"/>
    </row>
    <row r="375" spans="1:8" s="1" customFormat="1">
      <c r="A375" s="852"/>
      <c r="B375" s="4532" t="s">
        <v>67</v>
      </c>
      <c r="C375" s="4533"/>
      <c r="D375" s="1752"/>
      <c r="E375" s="1423">
        <f>SUM(E376)</f>
        <v>0</v>
      </c>
      <c r="F375" s="1423">
        <f t="shared" ref="F375:G375" si="47">SUM(F376)</f>
        <v>0</v>
      </c>
      <c r="G375" s="1625">
        <f t="shared" si="47"/>
        <v>1569.11</v>
      </c>
      <c r="H375" s="1474"/>
    </row>
    <row r="376" spans="1:8" s="859" customFormat="1" ht="15.75" thickBot="1">
      <c r="A376" s="1753"/>
      <c r="B376" s="1754"/>
      <c r="C376" s="857" t="s">
        <v>196</v>
      </c>
      <c r="D376" s="858" t="s">
        <v>28</v>
      </c>
      <c r="E376" s="1755">
        <v>0</v>
      </c>
      <c r="F376" s="1755">
        <v>0</v>
      </c>
      <c r="G376" s="1613">
        <v>1569.11</v>
      </c>
      <c r="H376" s="250"/>
    </row>
    <row r="377" spans="1:8" s="1" customFormat="1" ht="15.75" thickBot="1">
      <c r="A377" s="1731"/>
      <c r="B377" s="1680">
        <v>80147</v>
      </c>
      <c r="C377" s="1109" t="s">
        <v>205</v>
      </c>
      <c r="D377" s="1109"/>
      <c r="E377" s="1110">
        <f>SUM(E387,E378)</f>
        <v>20495</v>
      </c>
      <c r="F377" s="1110">
        <f>SUM(F387,F378)</f>
        <v>67853</v>
      </c>
      <c r="G377" s="1107">
        <f>SUM(G387,G378)</f>
        <v>78427.530000000013</v>
      </c>
      <c r="H377" s="1108">
        <f t="shared" si="44"/>
        <v>1.1558446936760352</v>
      </c>
    </row>
    <row r="378" spans="1:8" s="1" customFormat="1">
      <c r="A378" s="852"/>
      <c r="B378" s="4522" t="s">
        <v>21</v>
      </c>
      <c r="C378" s="4523"/>
      <c r="D378" s="384"/>
      <c r="E378" s="1412">
        <f>SUM(E379:E386)</f>
        <v>20495</v>
      </c>
      <c r="F378" s="1412">
        <f>SUM(F379:F386)</f>
        <v>67853</v>
      </c>
      <c r="G378" s="285">
        <f>SUM(G379:G386)</f>
        <v>78427.530000000013</v>
      </c>
      <c r="H378" s="1384">
        <f t="shared" si="44"/>
        <v>1.1558446936760352</v>
      </c>
    </row>
    <row r="379" spans="1:8" s="1" customFormat="1">
      <c r="A379" s="852"/>
      <c r="B379" s="854"/>
      <c r="C379" s="4524" t="s">
        <v>206</v>
      </c>
      <c r="D379" s="1385" t="s">
        <v>23</v>
      </c>
      <c r="E379" s="1095">
        <v>11340</v>
      </c>
      <c r="F379" s="1387">
        <v>11340</v>
      </c>
      <c r="G379" s="1388">
        <v>6192</v>
      </c>
      <c r="H379" s="1389">
        <f t="shared" si="44"/>
        <v>0.54603174603174598</v>
      </c>
    </row>
    <row r="380" spans="1:8" s="1" customFormat="1">
      <c r="A380" s="852"/>
      <c r="B380" s="854"/>
      <c r="C380" s="4525"/>
      <c r="D380" s="1385" t="s">
        <v>24</v>
      </c>
      <c r="E380" s="1391">
        <v>7732</v>
      </c>
      <c r="F380" s="1387">
        <v>7732</v>
      </c>
      <c r="G380" s="1388">
        <v>4590.28</v>
      </c>
      <c r="H380" s="1389">
        <f t="shared" si="44"/>
        <v>0.59367304707708224</v>
      </c>
    </row>
    <row r="381" spans="1:8" s="1" customFormat="1">
      <c r="A381" s="852"/>
      <c r="B381" s="854"/>
      <c r="C381" s="4525"/>
      <c r="D381" s="1385" t="s">
        <v>45</v>
      </c>
      <c r="E381" s="1391">
        <v>0</v>
      </c>
      <c r="F381" s="1387">
        <v>0</v>
      </c>
      <c r="G381" s="1388">
        <v>11813.64</v>
      </c>
      <c r="H381" s="1389"/>
    </row>
    <row r="382" spans="1:8" s="1" customFormat="1">
      <c r="A382" s="852"/>
      <c r="B382" s="854"/>
      <c r="C382" s="4525"/>
      <c r="D382" s="1385" t="s">
        <v>32</v>
      </c>
      <c r="E382" s="1391">
        <v>0</v>
      </c>
      <c r="F382" s="1387">
        <v>0</v>
      </c>
      <c r="G382" s="1388">
        <v>5884.08</v>
      </c>
      <c r="H382" s="1389"/>
    </row>
    <row r="383" spans="1:8" s="1" customFormat="1">
      <c r="A383" s="852"/>
      <c r="B383" s="854"/>
      <c r="C383" s="4525"/>
      <c r="D383" s="1385" t="s">
        <v>25</v>
      </c>
      <c r="E383" s="1391">
        <v>1423</v>
      </c>
      <c r="F383" s="1387">
        <v>1423</v>
      </c>
      <c r="G383" s="1388">
        <v>2301.98</v>
      </c>
      <c r="H383" s="1389">
        <f t="shared" si="44"/>
        <v>1.6176950105411103</v>
      </c>
    </row>
    <row r="384" spans="1:8" s="1" customFormat="1" ht="42.75" customHeight="1">
      <c r="A384" s="852"/>
      <c r="B384" s="854"/>
      <c r="C384" s="1488" t="s">
        <v>1005</v>
      </c>
      <c r="D384" s="1385" t="s">
        <v>200</v>
      </c>
      <c r="E384" s="1391">
        <v>0</v>
      </c>
      <c r="F384" s="1387">
        <v>39913</v>
      </c>
      <c r="G384" s="1388">
        <v>39913.32</v>
      </c>
      <c r="H384" s="1389">
        <f t="shared" si="44"/>
        <v>1.0000080174379276</v>
      </c>
    </row>
    <row r="385" spans="1:8" s="1" customFormat="1" ht="40.5" customHeight="1">
      <c r="A385" s="852"/>
      <c r="B385" s="854"/>
      <c r="C385" s="1756" t="s">
        <v>1006</v>
      </c>
      <c r="D385" s="231" t="s">
        <v>138</v>
      </c>
      <c r="E385" s="235">
        <v>0</v>
      </c>
      <c r="F385" s="1468">
        <v>7445</v>
      </c>
      <c r="G385" s="1469">
        <v>7444.68</v>
      </c>
      <c r="H385" s="1450">
        <f t="shared" si="44"/>
        <v>0.99995701813297522</v>
      </c>
    </row>
    <row r="386" spans="1:8" s="1" customFormat="1" ht="29.25" customHeight="1">
      <c r="A386" s="852"/>
      <c r="B386" s="1696"/>
      <c r="C386" s="1757" t="s">
        <v>197</v>
      </c>
      <c r="D386" s="1385" t="s">
        <v>198</v>
      </c>
      <c r="E386" s="1391">
        <v>0</v>
      </c>
      <c r="F386" s="1387">
        <v>0</v>
      </c>
      <c r="G386" s="1388">
        <v>287.55</v>
      </c>
      <c r="H386" s="1417"/>
    </row>
    <row r="387" spans="1:8" s="1" customFormat="1" ht="15.75" thickBot="1">
      <c r="A387" s="852"/>
      <c r="B387" s="4526" t="s">
        <v>26</v>
      </c>
      <c r="C387" s="4527"/>
      <c r="D387" s="1758"/>
      <c r="E387" s="1406">
        <v>0</v>
      </c>
      <c r="F387" s="1406">
        <v>0</v>
      </c>
      <c r="G387" s="1407">
        <v>0</v>
      </c>
      <c r="H387" s="1419"/>
    </row>
    <row r="388" spans="1:8" s="1" customFormat="1" ht="39" thickBot="1">
      <c r="A388" s="21"/>
      <c r="B388" s="429">
        <v>80153</v>
      </c>
      <c r="C388" s="812" t="s">
        <v>207</v>
      </c>
      <c r="D388" s="813"/>
      <c r="E388" s="810">
        <f>SUM(E389,E391)</f>
        <v>0</v>
      </c>
      <c r="F388" s="810">
        <f>SUM(F389,F391)</f>
        <v>14236</v>
      </c>
      <c r="G388" s="851">
        <f>SUM(G389,G391)</f>
        <v>13842.55</v>
      </c>
      <c r="H388" s="439">
        <f t="shared" si="44"/>
        <v>0.97236232087665064</v>
      </c>
    </row>
    <row r="389" spans="1:8" s="1" customFormat="1">
      <c r="A389" s="21"/>
      <c r="B389" s="4547" t="s">
        <v>21</v>
      </c>
      <c r="C389" s="4546"/>
      <c r="D389" s="384"/>
      <c r="E389" s="1412">
        <f>SUM(E390)</f>
        <v>0</v>
      </c>
      <c r="F389" s="1412">
        <f>SUM(F390)</f>
        <v>14236</v>
      </c>
      <c r="G389" s="1759">
        <f>SUM(G390)</f>
        <v>13842.55</v>
      </c>
      <c r="H389" s="1384">
        <f t="shared" si="44"/>
        <v>0.97236232087665064</v>
      </c>
    </row>
    <row r="390" spans="1:8" s="1" customFormat="1" ht="38.25">
      <c r="A390" s="21"/>
      <c r="B390" s="1682"/>
      <c r="C390" s="1716" t="s">
        <v>46</v>
      </c>
      <c r="D390" s="1705" t="s">
        <v>121</v>
      </c>
      <c r="E390" s="1618">
        <v>0</v>
      </c>
      <c r="F390" s="1387">
        <v>14236</v>
      </c>
      <c r="G390" s="1388">
        <v>13842.55</v>
      </c>
      <c r="H390" s="1389">
        <f t="shared" si="44"/>
        <v>0.97236232087665064</v>
      </c>
    </row>
    <row r="391" spans="1:8" s="1" customFormat="1" ht="15.75" thickBot="1">
      <c r="A391" s="21"/>
      <c r="B391" s="4811" t="s">
        <v>26</v>
      </c>
      <c r="C391" s="4546"/>
      <c r="D391" s="384"/>
      <c r="E391" s="388">
        <v>0</v>
      </c>
      <c r="F391" s="1596">
        <v>0</v>
      </c>
      <c r="G391" s="1597">
        <v>0</v>
      </c>
      <c r="H391" s="1760"/>
    </row>
    <row r="392" spans="1:8" s="1" customFormat="1" ht="15.75" thickBot="1">
      <c r="A392" s="852"/>
      <c r="B392" s="1680">
        <v>80195</v>
      </c>
      <c r="C392" s="1732" t="s">
        <v>44</v>
      </c>
      <c r="D392" s="1109"/>
      <c r="E392" s="1432">
        <f>SUM(E403,E393)</f>
        <v>233201</v>
      </c>
      <c r="F392" s="1432">
        <f>SUM(F403,F393)</f>
        <v>444092</v>
      </c>
      <c r="G392" s="383">
        <f>SUM(G403,G393)</f>
        <v>541908.12999999989</v>
      </c>
      <c r="H392" s="1108">
        <f t="shared" si="44"/>
        <v>1.2202609594408362</v>
      </c>
    </row>
    <row r="393" spans="1:8" s="1" customFormat="1">
      <c r="A393" s="852"/>
      <c r="B393" s="4542" t="s">
        <v>21</v>
      </c>
      <c r="C393" s="4542"/>
      <c r="D393" s="1686"/>
      <c r="E393" s="1400">
        <f>SUM(E394:E402)</f>
        <v>233201</v>
      </c>
      <c r="F393" s="1400">
        <f>SUM(F394:F402)</f>
        <v>441093</v>
      </c>
      <c r="G393" s="1476">
        <f>SUM(G394:G402)</f>
        <v>538911.78999999992</v>
      </c>
      <c r="H393" s="1384">
        <f t="shared" si="44"/>
        <v>1.2217645485192463</v>
      </c>
    </row>
    <row r="394" spans="1:8">
      <c r="A394" s="21"/>
      <c r="B394" s="1761"/>
      <c r="C394" s="4654" t="s">
        <v>1002</v>
      </c>
      <c r="D394" s="1747" t="s">
        <v>69</v>
      </c>
      <c r="E394" s="1478">
        <v>0</v>
      </c>
      <c r="F394" s="1478">
        <v>0</v>
      </c>
      <c r="G394" s="1479">
        <v>45.74</v>
      </c>
      <c r="H394" s="1450"/>
    </row>
    <row r="395" spans="1:8">
      <c r="A395" s="21"/>
      <c r="B395" s="44"/>
      <c r="C395" s="4655"/>
      <c r="D395" s="1414" t="s">
        <v>45</v>
      </c>
      <c r="E395" s="1391">
        <v>0</v>
      </c>
      <c r="F395" s="1387">
        <v>0</v>
      </c>
      <c r="G395" s="1388">
        <v>400</v>
      </c>
      <c r="H395" s="1417"/>
    </row>
    <row r="396" spans="1:8" ht="23.25" customHeight="1">
      <c r="A396" s="21"/>
      <c r="B396" s="45"/>
      <c r="C396" s="4654" t="s">
        <v>1007</v>
      </c>
      <c r="D396" s="1351" t="s">
        <v>547</v>
      </c>
      <c r="E396" s="1386">
        <v>0</v>
      </c>
      <c r="F396" s="1387">
        <v>136780</v>
      </c>
      <c r="G396" s="1388">
        <v>136780.26</v>
      </c>
      <c r="H396" s="1389">
        <f t="shared" si="44"/>
        <v>1.0000019008626992</v>
      </c>
    </row>
    <row r="397" spans="1:8" ht="15.75" customHeight="1" thickBot="1">
      <c r="A397" s="23"/>
      <c r="B397" s="1762"/>
      <c r="C397" s="4656"/>
      <c r="D397" s="1763" t="s">
        <v>209</v>
      </c>
      <c r="E397" s="1659">
        <v>0</v>
      </c>
      <c r="F397" s="894">
        <v>78991</v>
      </c>
      <c r="G397" s="895">
        <v>81420</v>
      </c>
      <c r="H397" s="896">
        <f t="shared" si="44"/>
        <v>1.0307503386461749</v>
      </c>
    </row>
    <row r="398" spans="1:8" ht="54" customHeight="1">
      <c r="A398" s="1743"/>
      <c r="B398" s="1764"/>
      <c r="C398" s="1765" t="s">
        <v>208</v>
      </c>
      <c r="D398" s="4794" t="s">
        <v>209</v>
      </c>
      <c r="E398" s="1607">
        <v>35849</v>
      </c>
      <c r="F398" s="1577">
        <v>35849</v>
      </c>
      <c r="G398" s="1578">
        <v>67274.59</v>
      </c>
      <c r="H398" s="1579">
        <f t="shared" si="44"/>
        <v>1.876609947278864</v>
      </c>
    </row>
    <row r="399" spans="1:8" ht="53.25" customHeight="1">
      <c r="A399" s="21"/>
      <c r="B399" s="45"/>
      <c r="C399" s="1563" t="s">
        <v>1009</v>
      </c>
      <c r="D399" s="4795"/>
      <c r="E399" s="1386">
        <v>197352</v>
      </c>
      <c r="F399" s="1468">
        <v>0</v>
      </c>
      <c r="G399" s="1469">
        <v>0</v>
      </c>
      <c r="H399" s="1389"/>
    </row>
    <row r="400" spans="1:8" ht="42" customHeight="1">
      <c r="A400" s="21"/>
      <c r="B400" s="45"/>
      <c r="C400" s="1563" t="s">
        <v>1008</v>
      </c>
      <c r="D400" s="4796"/>
      <c r="E400" s="1386">
        <v>0</v>
      </c>
      <c r="F400" s="1468">
        <v>20000</v>
      </c>
      <c r="G400" s="1469">
        <v>218909.63</v>
      </c>
      <c r="H400" s="1389">
        <f t="shared" si="44"/>
        <v>10.9454815</v>
      </c>
    </row>
    <row r="401" spans="1:8" ht="63.75">
      <c r="A401" s="21"/>
      <c r="B401" s="44"/>
      <c r="C401" s="1564" t="s">
        <v>1020</v>
      </c>
      <c r="D401" s="1414" t="s">
        <v>200</v>
      </c>
      <c r="E401" s="1416">
        <v>0</v>
      </c>
      <c r="F401" s="1468">
        <v>149500</v>
      </c>
      <c r="G401" s="1469">
        <v>0</v>
      </c>
      <c r="H401" s="1389">
        <f t="shared" si="44"/>
        <v>0</v>
      </c>
    </row>
    <row r="402" spans="1:8" ht="38.25">
      <c r="A402" s="21"/>
      <c r="B402" s="1766"/>
      <c r="C402" s="1767" t="s">
        <v>66</v>
      </c>
      <c r="D402" s="1414" t="s">
        <v>211</v>
      </c>
      <c r="E402" s="1391">
        <v>0</v>
      </c>
      <c r="F402" s="1387">
        <v>19973</v>
      </c>
      <c r="G402" s="1388">
        <v>34081.57</v>
      </c>
      <c r="H402" s="1389">
        <f t="shared" si="44"/>
        <v>1.7063821158564061</v>
      </c>
    </row>
    <row r="403" spans="1:8">
      <c r="A403" s="21"/>
      <c r="B403" s="4567" t="s">
        <v>67</v>
      </c>
      <c r="C403" s="4672"/>
      <c r="D403" s="387"/>
      <c r="E403" s="388">
        <f>SUM(E404:E404)</f>
        <v>0</v>
      </c>
      <c r="F403" s="388">
        <f>SUM(F404:F404)</f>
        <v>2999</v>
      </c>
      <c r="G403" s="389">
        <f>SUM(G404:G404)</f>
        <v>2996.34</v>
      </c>
      <c r="H403" s="1384">
        <f t="shared" si="44"/>
        <v>0.99911303767922643</v>
      </c>
    </row>
    <row r="404" spans="1:8" ht="44.25" customHeight="1" thickBot="1">
      <c r="A404" s="23"/>
      <c r="B404" s="390"/>
      <c r="C404" s="391" t="s">
        <v>66</v>
      </c>
      <c r="D404" s="1742" t="s">
        <v>212</v>
      </c>
      <c r="E404" s="893">
        <v>0</v>
      </c>
      <c r="F404" s="894">
        <v>2999</v>
      </c>
      <c r="G404" s="895">
        <v>2996.34</v>
      </c>
      <c r="H404" s="896">
        <f t="shared" si="44"/>
        <v>0.99911303767922643</v>
      </c>
    </row>
    <row r="405" spans="1:8" ht="15.75" thickBot="1">
      <c r="A405" s="1768">
        <v>851</v>
      </c>
      <c r="B405" s="1769"/>
      <c r="C405" s="1770" t="s">
        <v>213</v>
      </c>
      <c r="D405" s="1771"/>
      <c r="E405" s="1772">
        <f>SUM(E406,E412,E416,E430,E436,E425,E421)</f>
        <v>18684000</v>
      </c>
      <c r="F405" s="1772">
        <f>SUM(F406,F412,F416,F430,F436,F425,F421)</f>
        <v>39845110</v>
      </c>
      <c r="G405" s="1773">
        <f>SUM(G406,G412,G416,G430,G436,G425,G421)</f>
        <v>31562810.639999997</v>
      </c>
      <c r="H405" s="736">
        <f t="shared" si="44"/>
        <v>0.79213762090253981</v>
      </c>
    </row>
    <row r="406" spans="1:8" ht="15.75" thickBot="1">
      <c r="A406" s="26"/>
      <c r="B406" s="429">
        <v>85111</v>
      </c>
      <c r="C406" s="812" t="s">
        <v>214</v>
      </c>
      <c r="D406" s="813"/>
      <c r="E406" s="810">
        <v>0</v>
      </c>
      <c r="F406" s="810">
        <f>SUM(F407,F409)</f>
        <v>720000</v>
      </c>
      <c r="G406" s="811">
        <f>SUM(G407,G409)</f>
        <v>753851.27999999991</v>
      </c>
      <c r="H406" s="1108">
        <f t="shared" si="44"/>
        <v>1.0470156666666666</v>
      </c>
    </row>
    <row r="407" spans="1:8">
      <c r="A407" s="26"/>
      <c r="B407" s="4522" t="s">
        <v>21</v>
      </c>
      <c r="C407" s="4523"/>
      <c r="D407" s="1707"/>
      <c r="E407" s="1412">
        <v>0</v>
      </c>
      <c r="F407" s="1412">
        <f>SUM(F408:F408)</f>
        <v>0</v>
      </c>
      <c r="G407" s="285">
        <f>SUM(G408:G408)</f>
        <v>382.19</v>
      </c>
      <c r="H407" s="1384"/>
    </row>
    <row r="408" spans="1:8" ht="39" thickBot="1">
      <c r="A408" s="27"/>
      <c r="B408" s="1774"/>
      <c r="C408" s="422" t="s">
        <v>538</v>
      </c>
      <c r="D408" s="1742" t="s">
        <v>42</v>
      </c>
      <c r="E408" s="1775">
        <v>0</v>
      </c>
      <c r="F408" s="894">
        <v>0</v>
      </c>
      <c r="G408" s="895">
        <v>382.19</v>
      </c>
      <c r="H408" s="1482"/>
    </row>
    <row r="409" spans="1:8">
      <c r="A409" s="1776"/>
      <c r="B409" s="4522" t="s">
        <v>67</v>
      </c>
      <c r="C409" s="4542"/>
      <c r="D409" s="1686"/>
      <c r="E409" s="1400">
        <v>0</v>
      </c>
      <c r="F409" s="1400">
        <f>SUM(F410:F411)</f>
        <v>720000</v>
      </c>
      <c r="G409" s="1401">
        <f>SUM(G410:G411)</f>
        <v>753469.09</v>
      </c>
      <c r="H409" s="1486">
        <f t="shared" si="44"/>
        <v>1.0464848472222221</v>
      </c>
    </row>
    <row r="410" spans="1:8" ht="38.25">
      <c r="A410" s="26"/>
      <c r="B410" s="814"/>
      <c r="C410" s="1777" t="s">
        <v>215</v>
      </c>
      <c r="D410" s="1778">
        <v>6530</v>
      </c>
      <c r="E410" s="1391">
        <v>0</v>
      </c>
      <c r="F410" s="1387">
        <v>720000</v>
      </c>
      <c r="G410" s="1388">
        <v>719999.99</v>
      </c>
      <c r="H410" s="1389">
        <f t="shared" si="44"/>
        <v>0.99999998611111107</v>
      </c>
    </row>
    <row r="411" spans="1:8" ht="39" thickBot="1">
      <c r="A411" s="26"/>
      <c r="B411" s="815"/>
      <c r="C411" s="1722" t="s">
        <v>538</v>
      </c>
      <c r="D411" s="1778">
        <v>6660</v>
      </c>
      <c r="E411" s="1391">
        <v>0</v>
      </c>
      <c r="F411" s="1387">
        <v>0</v>
      </c>
      <c r="G411" s="1388">
        <v>33469.1</v>
      </c>
      <c r="H411" s="1417"/>
    </row>
    <row r="412" spans="1:8" s="12" customFormat="1" ht="15.75" thickBot="1">
      <c r="A412" s="26"/>
      <c r="B412" s="1680">
        <v>85120</v>
      </c>
      <c r="C412" s="1104" t="s">
        <v>216</v>
      </c>
      <c r="D412" s="1105"/>
      <c r="E412" s="1110">
        <f>SUM(E413:E414)</f>
        <v>0</v>
      </c>
      <c r="F412" s="1110">
        <f t="shared" ref="F412:G413" si="48">SUM(F413:F414)</f>
        <v>0</v>
      </c>
      <c r="G412" s="1107">
        <f t="shared" si="48"/>
        <v>1144.08</v>
      </c>
      <c r="H412" s="1108"/>
    </row>
    <row r="413" spans="1:8" s="12" customFormat="1">
      <c r="A413" s="26"/>
      <c r="B413" s="4542" t="s">
        <v>82</v>
      </c>
      <c r="C413" s="4542"/>
      <c r="D413" s="1686"/>
      <c r="E413" s="388">
        <v>0</v>
      </c>
      <c r="F413" s="388">
        <f t="shared" si="48"/>
        <v>0</v>
      </c>
      <c r="G413" s="389">
        <v>0</v>
      </c>
      <c r="H413" s="1384"/>
    </row>
    <row r="414" spans="1:8" s="12" customFormat="1">
      <c r="A414" s="26"/>
      <c r="B414" s="4562" t="s">
        <v>67</v>
      </c>
      <c r="C414" s="4562"/>
      <c r="D414" s="1779"/>
      <c r="E414" s="1780">
        <f>SUM(E415)</f>
        <v>0</v>
      </c>
      <c r="F414" s="1780">
        <f t="shared" ref="F414:G414" si="49">SUM(F415)</f>
        <v>0</v>
      </c>
      <c r="G414" s="1781">
        <f t="shared" si="49"/>
        <v>1144.08</v>
      </c>
      <c r="H414" s="1474"/>
    </row>
    <row r="415" spans="1:8" s="12" customFormat="1" ht="44.25" customHeight="1" thickBot="1">
      <c r="A415" s="26"/>
      <c r="B415" s="1782"/>
      <c r="C415" s="1730" t="s">
        <v>539</v>
      </c>
      <c r="D415" s="1695">
        <v>6660</v>
      </c>
      <c r="E415" s="1783">
        <v>0</v>
      </c>
      <c r="F415" s="1585">
        <v>0</v>
      </c>
      <c r="G415" s="1586">
        <v>1144.08</v>
      </c>
      <c r="H415" s="1784"/>
    </row>
    <row r="416" spans="1:8" s="12" customFormat="1" ht="15.75" thickBot="1">
      <c r="A416" s="26"/>
      <c r="B416" s="1680">
        <v>85141</v>
      </c>
      <c r="C416" s="1104" t="s">
        <v>217</v>
      </c>
      <c r="D416" s="1105"/>
      <c r="E416" s="1110">
        <f t="shared" ref="E416" si="50">SUM(E417,E418)</f>
        <v>150000</v>
      </c>
      <c r="F416" s="1110">
        <f>SUM(F417,F418)</f>
        <v>1350000</v>
      </c>
      <c r="G416" s="1785">
        <f>SUM(G417,G418)</f>
        <v>1343047.7899999998</v>
      </c>
      <c r="H416" s="1108">
        <f t="shared" ref="H416:H451" si="51">G416/F416</f>
        <v>0.99485021481481462</v>
      </c>
    </row>
    <row r="417" spans="1:8">
      <c r="A417" s="26"/>
      <c r="B417" s="4531" t="s">
        <v>82</v>
      </c>
      <c r="C417" s="4531"/>
      <c r="D417" s="384"/>
      <c r="E417" s="1412">
        <v>0</v>
      </c>
      <c r="F417" s="1412">
        <v>0</v>
      </c>
      <c r="G417" s="389">
        <v>0</v>
      </c>
      <c r="H417" s="1384"/>
    </row>
    <row r="418" spans="1:8">
      <c r="A418" s="26"/>
      <c r="B418" s="4562" t="s">
        <v>67</v>
      </c>
      <c r="C418" s="4562"/>
      <c r="D418" s="1779"/>
      <c r="E418" s="1423">
        <f>SUM(E419:E420)</f>
        <v>150000</v>
      </c>
      <c r="F418" s="1423">
        <f>SUM(F419:F420)</f>
        <v>1350000</v>
      </c>
      <c r="G418" s="1781">
        <f>SUM(G419:G420)</f>
        <v>1343047.7899999998</v>
      </c>
      <c r="H418" s="1474">
        <f t="shared" si="51"/>
        <v>0.99485021481481462</v>
      </c>
    </row>
    <row r="419" spans="1:8" ht="51">
      <c r="A419" s="26"/>
      <c r="B419" s="816"/>
      <c r="C419" s="1786" t="s">
        <v>218</v>
      </c>
      <c r="D419" s="1436">
        <v>6510</v>
      </c>
      <c r="E419" s="1391">
        <v>150000</v>
      </c>
      <c r="F419" s="1387">
        <v>1350000</v>
      </c>
      <c r="G419" s="1388">
        <v>1342988.65</v>
      </c>
      <c r="H419" s="1389">
        <f t="shared" si="51"/>
        <v>0.99480640740740733</v>
      </c>
    </row>
    <row r="420" spans="1:8" ht="39" thickBot="1">
      <c r="A420" s="26"/>
      <c r="B420" s="265"/>
      <c r="C420" s="817" t="s">
        <v>539</v>
      </c>
      <c r="D420" s="705">
        <v>6660</v>
      </c>
      <c r="E420" s="1416">
        <v>0</v>
      </c>
      <c r="F420" s="738">
        <v>0</v>
      </c>
      <c r="G420" s="424">
        <v>59.14</v>
      </c>
      <c r="H420" s="425"/>
    </row>
    <row r="421" spans="1:8" ht="15.75" thickBot="1">
      <c r="A421" s="26"/>
      <c r="B421" s="429">
        <v>85148</v>
      </c>
      <c r="C421" s="1104" t="s">
        <v>219</v>
      </c>
      <c r="D421" s="1105"/>
      <c r="E421" s="1787">
        <f>SUM(E422:E423)</f>
        <v>0</v>
      </c>
      <c r="F421" s="1787">
        <f t="shared" ref="F421:G421" si="52">SUM(F422:F423)</f>
        <v>0</v>
      </c>
      <c r="G421" s="1788">
        <f t="shared" si="52"/>
        <v>1200</v>
      </c>
      <c r="H421" s="1108"/>
    </row>
    <row r="422" spans="1:8">
      <c r="A422" s="26"/>
      <c r="B422" s="4542" t="s">
        <v>82</v>
      </c>
      <c r="C422" s="4542"/>
      <c r="D422" s="1686"/>
      <c r="E422" s="1789">
        <v>0</v>
      </c>
      <c r="F422" s="1789">
        <v>0</v>
      </c>
      <c r="G422" s="1790">
        <v>0</v>
      </c>
      <c r="H422" s="1687"/>
    </row>
    <row r="423" spans="1:8" s="20" customFormat="1">
      <c r="A423" s="26"/>
      <c r="B423" s="4562" t="s">
        <v>67</v>
      </c>
      <c r="C423" s="4562"/>
      <c r="D423" s="1779"/>
      <c r="E423" s="1780">
        <f>SUM(E424)</f>
        <v>0</v>
      </c>
      <c r="F423" s="1780">
        <f t="shared" ref="F423:G423" si="53">SUM(F424)</f>
        <v>0</v>
      </c>
      <c r="G423" s="1791">
        <f t="shared" si="53"/>
        <v>1200</v>
      </c>
      <c r="H423" s="1792"/>
    </row>
    <row r="424" spans="1:8" ht="39" thickBot="1">
      <c r="A424" s="26"/>
      <c r="B424" s="818"/>
      <c r="C424" s="422" t="s">
        <v>539</v>
      </c>
      <c r="D424" s="421">
        <v>6660</v>
      </c>
      <c r="E424" s="235">
        <v>0</v>
      </c>
      <c r="F424" s="1387">
        <v>0</v>
      </c>
      <c r="G424" s="1388">
        <v>1200</v>
      </c>
      <c r="H424" s="1417"/>
    </row>
    <row r="425" spans="1:8" ht="15.75" thickBot="1">
      <c r="A425" s="26"/>
      <c r="B425" s="1680">
        <v>85154</v>
      </c>
      <c r="C425" s="1104" t="s">
        <v>221</v>
      </c>
      <c r="D425" s="1105"/>
      <c r="E425" s="1432">
        <f t="shared" ref="E425:G425" si="54">E426+E429</f>
        <v>0</v>
      </c>
      <c r="F425" s="1432">
        <f t="shared" si="54"/>
        <v>0</v>
      </c>
      <c r="G425" s="383">
        <f t="shared" si="54"/>
        <v>102.8</v>
      </c>
      <c r="H425" s="1108"/>
    </row>
    <row r="426" spans="1:8">
      <c r="A426" s="26"/>
      <c r="B426" s="4542" t="s">
        <v>21</v>
      </c>
      <c r="C426" s="4542"/>
      <c r="D426" s="1686"/>
      <c r="E426" s="1412">
        <f>SUM(E427:E428)</f>
        <v>0</v>
      </c>
      <c r="F426" s="1412">
        <f>SUM(F427:F428)</f>
        <v>0</v>
      </c>
      <c r="G426" s="285">
        <f>SUM(G427:G428)</f>
        <v>102.8</v>
      </c>
      <c r="H426" s="1384"/>
    </row>
    <row r="427" spans="1:8">
      <c r="A427" s="26"/>
      <c r="B427" s="4652"/>
      <c r="C427" s="4557" t="s">
        <v>222</v>
      </c>
      <c r="D427" s="1739" t="s">
        <v>69</v>
      </c>
      <c r="E427" s="1391">
        <v>0</v>
      </c>
      <c r="F427" s="1387">
        <v>0</v>
      </c>
      <c r="G427" s="1388">
        <v>83.07</v>
      </c>
      <c r="H427" s="1417"/>
    </row>
    <row r="428" spans="1:8">
      <c r="A428" s="26"/>
      <c r="B428" s="4653"/>
      <c r="C428" s="4558"/>
      <c r="D428" s="1704" t="s">
        <v>42</v>
      </c>
      <c r="E428" s="1095">
        <v>0</v>
      </c>
      <c r="F428" s="1387">
        <v>0</v>
      </c>
      <c r="G428" s="1388">
        <v>19.73</v>
      </c>
      <c r="H428" s="1417"/>
    </row>
    <row r="429" spans="1:8" ht="15.75" thickBot="1">
      <c r="A429" s="27"/>
      <c r="B429" s="4548" t="s">
        <v>26</v>
      </c>
      <c r="C429" s="4548"/>
      <c r="D429" s="1685"/>
      <c r="E429" s="1406">
        <v>0</v>
      </c>
      <c r="F429" s="1406">
        <v>0</v>
      </c>
      <c r="G429" s="1407">
        <v>0</v>
      </c>
      <c r="H429" s="1419"/>
    </row>
    <row r="430" spans="1:8" ht="15.75" thickBot="1">
      <c r="A430" s="1776"/>
      <c r="B430" s="1680">
        <v>85157</v>
      </c>
      <c r="C430" s="1104" t="s">
        <v>223</v>
      </c>
      <c r="D430" s="1105"/>
      <c r="E430" s="1432">
        <f t="shared" ref="E430:G430" si="55">E431+E435</f>
        <v>18504000</v>
      </c>
      <c r="F430" s="1432">
        <f t="shared" si="55"/>
        <v>37709310</v>
      </c>
      <c r="G430" s="383">
        <f t="shared" si="55"/>
        <v>29401797.309999999</v>
      </c>
      <c r="H430" s="1108">
        <f t="shared" si="51"/>
        <v>0.77969597720032524</v>
      </c>
    </row>
    <row r="431" spans="1:8">
      <c r="A431" s="26"/>
      <c r="B431" s="4522" t="s">
        <v>21</v>
      </c>
      <c r="C431" s="4542"/>
      <c r="D431" s="1686"/>
      <c r="E431" s="1400">
        <f>SUM(E432:E434)</f>
        <v>18504000</v>
      </c>
      <c r="F431" s="1400">
        <f t="shared" ref="F431:G431" si="56">SUM(F432:F434)</f>
        <v>37709310</v>
      </c>
      <c r="G431" s="1476">
        <f t="shared" si="56"/>
        <v>29401797.309999999</v>
      </c>
      <c r="H431" s="1486">
        <f t="shared" si="51"/>
        <v>0.77969597720032524</v>
      </c>
    </row>
    <row r="432" spans="1:8" ht="53.25" customHeight="1">
      <c r="A432" s="26"/>
      <c r="B432" s="1794"/>
      <c r="C432" s="4277" t="s">
        <v>1001</v>
      </c>
      <c r="D432" s="1747" t="s">
        <v>45</v>
      </c>
      <c r="E432" s="423">
        <v>0</v>
      </c>
      <c r="F432" s="423">
        <v>70</v>
      </c>
      <c r="G432" s="821">
        <v>70</v>
      </c>
      <c r="H432" s="1389">
        <f t="shared" si="51"/>
        <v>1</v>
      </c>
    </row>
    <row r="433" spans="1:8" ht="40.5" customHeight="1">
      <c r="A433" s="26"/>
      <c r="B433" s="820"/>
      <c r="C433" s="1795" t="s">
        <v>46</v>
      </c>
      <c r="D433" s="1778">
        <v>2210</v>
      </c>
      <c r="E433" s="1391">
        <v>18504000</v>
      </c>
      <c r="F433" s="1387">
        <v>37709240</v>
      </c>
      <c r="G433" s="1388">
        <v>29401720.629999999</v>
      </c>
      <c r="H433" s="1389">
        <f t="shared" si="51"/>
        <v>0.77969539110308239</v>
      </c>
    </row>
    <row r="434" spans="1:8" ht="43.5" customHeight="1">
      <c r="A434" s="26"/>
      <c r="B434" s="1796"/>
      <c r="C434" s="1797" t="s">
        <v>59</v>
      </c>
      <c r="D434" s="1778">
        <v>2360</v>
      </c>
      <c r="E434" s="1391">
        <v>0</v>
      </c>
      <c r="F434" s="1387">
        <v>0</v>
      </c>
      <c r="G434" s="1388">
        <v>6.68</v>
      </c>
      <c r="H434" s="1417"/>
    </row>
    <row r="435" spans="1:8" ht="15.75" thickBot="1">
      <c r="A435" s="26"/>
      <c r="B435" s="4548" t="s">
        <v>26</v>
      </c>
      <c r="C435" s="4548"/>
      <c r="D435" s="1685"/>
      <c r="E435" s="1406">
        <v>0</v>
      </c>
      <c r="F435" s="1406">
        <v>0</v>
      </c>
      <c r="G435" s="1407">
        <v>0</v>
      </c>
      <c r="H435" s="1419"/>
    </row>
    <row r="436" spans="1:8" ht="15.75" thickBot="1">
      <c r="A436" s="26"/>
      <c r="B436" s="429">
        <v>85195</v>
      </c>
      <c r="C436" s="812" t="s">
        <v>44</v>
      </c>
      <c r="D436" s="813"/>
      <c r="E436" s="810">
        <f>E437+E439</f>
        <v>30000</v>
      </c>
      <c r="F436" s="810">
        <f>F437+F439</f>
        <v>65800</v>
      </c>
      <c r="G436" s="811">
        <f>G437+G439</f>
        <v>61667.38</v>
      </c>
      <c r="H436" s="439">
        <f t="shared" si="51"/>
        <v>0.93719422492401216</v>
      </c>
    </row>
    <row r="437" spans="1:8">
      <c r="A437" s="26"/>
      <c r="B437" s="4542" t="s">
        <v>21</v>
      </c>
      <c r="C437" s="4542"/>
      <c r="D437" s="1681"/>
      <c r="E437" s="1412">
        <f>SUM(E438:E438)</f>
        <v>30000</v>
      </c>
      <c r="F437" s="1412">
        <f>SUM(F438:F438)</f>
        <v>65800</v>
      </c>
      <c r="G437" s="285">
        <f>SUM(G438:G438)</f>
        <v>61667.38</v>
      </c>
      <c r="H437" s="1384">
        <f t="shared" si="51"/>
        <v>0.93719422492401216</v>
      </c>
    </row>
    <row r="438" spans="1:8" s="12" customFormat="1" ht="44.25" customHeight="1">
      <c r="A438" s="26"/>
      <c r="B438" s="822"/>
      <c r="C438" s="1724" t="s">
        <v>46</v>
      </c>
      <c r="D438" s="1684">
        <v>2210</v>
      </c>
      <c r="E438" s="1499">
        <v>30000</v>
      </c>
      <c r="F438" s="1572">
        <v>65800</v>
      </c>
      <c r="G438" s="1573">
        <v>61667.38</v>
      </c>
      <c r="H438" s="1548">
        <f t="shared" si="51"/>
        <v>0.93719422492401216</v>
      </c>
    </row>
    <row r="439" spans="1:8" ht="15.75" thickBot="1">
      <c r="A439" s="27"/>
      <c r="B439" s="4565" t="s">
        <v>26</v>
      </c>
      <c r="C439" s="4566"/>
      <c r="D439" s="1685"/>
      <c r="E439" s="1406">
        <v>0</v>
      </c>
      <c r="F439" s="1406">
        <v>0</v>
      </c>
      <c r="G439" s="1407">
        <v>0</v>
      </c>
      <c r="H439" s="1419"/>
    </row>
    <row r="440" spans="1:8" ht="15.75" thickBot="1">
      <c r="A440" s="427">
        <v>852</v>
      </c>
      <c r="B440" s="823"/>
      <c r="C440" s="824" t="s">
        <v>224</v>
      </c>
      <c r="D440" s="825"/>
      <c r="E440" s="239">
        <f>SUM(E441,E447,E462,E458)</f>
        <v>4308131</v>
      </c>
      <c r="F440" s="239">
        <f>SUM(F441,F447,F462,F458)</f>
        <v>4893205</v>
      </c>
      <c r="G440" s="826">
        <f>SUM(G441,G447,G462,G458)</f>
        <v>4608515.68</v>
      </c>
      <c r="H440" s="428">
        <f t="shared" si="51"/>
        <v>0.94181945779913157</v>
      </c>
    </row>
    <row r="441" spans="1:8" ht="15.75" thickBot="1">
      <c r="A441" s="1798"/>
      <c r="B441" s="1680">
        <v>85205</v>
      </c>
      <c r="C441" s="1104" t="s">
        <v>225</v>
      </c>
      <c r="D441" s="1105"/>
      <c r="E441" s="1432">
        <f>E442+E446</f>
        <v>100000</v>
      </c>
      <c r="F441" s="1432">
        <f>F442+F446</f>
        <v>100000</v>
      </c>
      <c r="G441" s="383">
        <f>G442+G446</f>
        <v>95285</v>
      </c>
      <c r="H441" s="1108">
        <f t="shared" si="51"/>
        <v>0.95284999999999997</v>
      </c>
    </row>
    <row r="442" spans="1:8">
      <c r="A442" s="28"/>
      <c r="B442" s="4812" t="s">
        <v>21</v>
      </c>
      <c r="C442" s="4813"/>
      <c r="D442" s="384"/>
      <c r="E442" s="1412">
        <f>SUM(E444,E443,E445)</f>
        <v>100000</v>
      </c>
      <c r="F442" s="1412">
        <f>SUM(F444,F443,F445)</f>
        <v>100000</v>
      </c>
      <c r="G442" s="1759">
        <f>SUM(G444,G443,G445)</f>
        <v>95285</v>
      </c>
      <c r="H442" s="1384">
        <f t="shared" si="51"/>
        <v>0.95284999999999997</v>
      </c>
    </row>
    <row r="443" spans="1:8" ht="27.75" customHeight="1">
      <c r="A443" s="28"/>
      <c r="B443" s="828"/>
      <c r="C443" s="4406" t="s">
        <v>226</v>
      </c>
      <c r="D443" s="1684">
        <v>2230</v>
      </c>
      <c r="E443" s="1391">
        <v>100000</v>
      </c>
      <c r="F443" s="1387">
        <v>100000</v>
      </c>
      <c r="G443" s="1388">
        <v>89300</v>
      </c>
      <c r="H443" s="1389">
        <f t="shared" si="51"/>
        <v>0.89300000000000002</v>
      </c>
    </row>
    <row r="444" spans="1:8" ht="27.75" customHeight="1">
      <c r="A444" s="28"/>
      <c r="B444" s="834"/>
      <c r="C444" s="4809" t="s">
        <v>1120</v>
      </c>
      <c r="D444" s="1739" t="s">
        <v>69</v>
      </c>
      <c r="E444" s="1391">
        <v>0</v>
      </c>
      <c r="F444" s="1387">
        <v>0</v>
      </c>
      <c r="G444" s="1388">
        <v>1045</v>
      </c>
      <c r="H444" s="1389"/>
    </row>
    <row r="445" spans="1:8" ht="27.75" customHeight="1">
      <c r="A445" s="28"/>
      <c r="B445" s="1800"/>
      <c r="C445" s="4810"/>
      <c r="D445" s="1684">
        <v>2910</v>
      </c>
      <c r="E445" s="827">
        <v>0</v>
      </c>
      <c r="F445" s="1387">
        <v>0</v>
      </c>
      <c r="G445" s="1388">
        <v>4940</v>
      </c>
      <c r="H445" s="1417"/>
    </row>
    <row r="446" spans="1:8" ht="15.75" thickBot="1">
      <c r="A446" s="1801"/>
      <c r="B446" s="4565" t="s">
        <v>26</v>
      </c>
      <c r="C446" s="4568"/>
      <c r="D446" s="1685"/>
      <c r="E446" s="1406">
        <v>0</v>
      </c>
      <c r="F446" s="1406">
        <v>0</v>
      </c>
      <c r="G446" s="1407">
        <v>0</v>
      </c>
      <c r="H446" s="1419"/>
    </row>
    <row r="447" spans="1:8" ht="15.75" thickBot="1">
      <c r="A447" s="1802"/>
      <c r="B447" s="1103">
        <v>85217</v>
      </c>
      <c r="C447" s="1104" t="s">
        <v>227</v>
      </c>
      <c r="D447" s="1105"/>
      <c r="E447" s="1106">
        <f>SUM(E448,E457)</f>
        <v>336150</v>
      </c>
      <c r="F447" s="1106">
        <f>SUM(F448,F457)</f>
        <v>339196</v>
      </c>
      <c r="G447" s="1107">
        <f>SUM(G448,G457)</f>
        <v>335774.34</v>
      </c>
      <c r="H447" s="1108">
        <f t="shared" si="51"/>
        <v>0.98991244000518885</v>
      </c>
    </row>
    <row r="448" spans="1:8">
      <c r="A448" s="28"/>
      <c r="B448" s="4522" t="s">
        <v>21</v>
      </c>
      <c r="C448" s="4542"/>
      <c r="D448" s="384"/>
      <c r="E448" s="1400">
        <f>SUM(E449:E456)</f>
        <v>336150</v>
      </c>
      <c r="F448" s="1400">
        <f>SUM(F449:F456)</f>
        <v>339196</v>
      </c>
      <c r="G448" s="1401">
        <f>SUM(G449:G456)</f>
        <v>335774.34</v>
      </c>
      <c r="H448" s="1384">
        <f t="shared" si="51"/>
        <v>0.98991244000518885</v>
      </c>
    </row>
    <row r="449" spans="1:8">
      <c r="A449" s="28"/>
      <c r="B449" s="4554"/>
      <c r="C449" s="4814" t="s">
        <v>228</v>
      </c>
      <c r="D449" s="1704" t="s">
        <v>87</v>
      </c>
      <c r="E449" s="830">
        <v>0</v>
      </c>
      <c r="F449" s="1387">
        <v>0</v>
      </c>
      <c r="G449" s="1388">
        <v>180</v>
      </c>
      <c r="H449" s="1417"/>
    </row>
    <row r="450" spans="1:8">
      <c r="A450" s="28"/>
      <c r="B450" s="4555"/>
      <c r="C450" s="4814"/>
      <c r="D450" s="1704" t="s">
        <v>23</v>
      </c>
      <c r="E450" s="1391">
        <v>327738</v>
      </c>
      <c r="F450" s="1387">
        <v>327738</v>
      </c>
      <c r="G450" s="1388">
        <v>318644.02</v>
      </c>
      <c r="H450" s="1389">
        <f t="shared" si="51"/>
        <v>0.97225228688769694</v>
      </c>
    </row>
    <row r="451" spans="1:8">
      <c r="A451" s="28"/>
      <c r="B451" s="4555"/>
      <c r="C451" s="4814"/>
      <c r="D451" s="1705" t="s">
        <v>24</v>
      </c>
      <c r="E451" s="1391">
        <v>4864</v>
      </c>
      <c r="F451" s="1387">
        <v>4864</v>
      </c>
      <c r="G451" s="1388">
        <v>4148.83</v>
      </c>
      <c r="H451" s="1389">
        <f t="shared" si="51"/>
        <v>0.85296669407894732</v>
      </c>
    </row>
    <row r="452" spans="1:8">
      <c r="A452" s="28"/>
      <c r="B452" s="4555"/>
      <c r="C452" s="4814"/>
      <c r="D452" s="1704" t="s">
        <v>41</v>
      </c>
      <c r="E452" s="1391">
        <v>0</v>
      </c>
      <c r="F452" s="1387">
        <v>0</v>
      </c>
      <c r="G452" s="1388">
        <v>195.74</v>
      </c>
      <c r="H452" s="1389"/>
    </row>
    <row r="453" spans="1:8">
      <c r="A453" s="28"/>
      <c r="B453" s="4555"/>
      <c r="C453" s="4814"/>
      <c r="D453" s="1704" t="s">
        <v>45</v>
      </c>
      <c r="E453" s="1391">
        <v>0</v>
      </c>
      <c r="F453" s="1387">
        <v>0</v>
      </c>
      <c r="G453" s="1388">
        <v>319.08</v>
      </c>
      <c r="H453" s="1389"/>
    </row>
    <row r="454" spans="1:8">
      <c r="A454" s="28"/>
      <c r="B454" s="4555"/>
      <c r="C454" s="4814"/>
      <c r="D454" s="1704" t="s">
        <v>32</v>
      </c>
      <c r="E454" s="1391">
        <v>0</v>
      </c>
      <c r="F454" s="1387">
        <v>0</v>
      </c>
      <c r="G454" s="1388">
        <v>4066.73</v>
      </c>
      <c r="H454" s="1389"/>
    </row>
    <row r="455" spans="1:8">
      <c r="A455" s="28"/>
      <c r="B455" s="4555"/>
      <c r="C455" s="4814"/>
      <c r="D455" s="1705" t="s">
        <v>25</v>
      </c>
      <c r="E455" s="1391">
        <v>3548</v>
      </c>
      <c r="F455" s="1387">
        <v>6594</v>
      </c>
      <c r="G455" s="1388">
        <v>7219.94</v>
      </c>
      <c r="H455" s="1389">
        <f t="shared" ref="H455:H509" si="57">G455/F455</f>
        <v>1.0949256900212314</v>
      </c>
    </row>
    <row r="456" spans="1:8" ht="42" customHeight="1">
      <c r="A456" s="28"/>
      <c r="B456" s="4556"/>
      <c r="C456" s="1746" t="s">
        <v>229</v>
      </c>
      <c r="D456" s="1705" t="s">
        <v>42</v>
      </c>
      <c r="E456" s="1391">
        <v>0</v>
      </c>
      <c r="F456" s="1387">
        <v>0</v>
      </c>
      <c r="G456" s="1388">
        <v>1000</v>
      </c>
      <c r="H456" s="1389"/>
    </row>
    <row r="457" spans="1:8" ht="15.75" thickBot="1">
      <c r="A457" s="28"/>
      <c r="B457" s="4530" t="s">
        <v>26</v>
      </c>
      <c r="C457" s="4548"/>
      <c r="D457" s="1685"/>
      <c r="E457" s="717">
        <v>0</v>
      </c>
      <c r="F457" s="717">
        <v>0</v>
      </c>
      <c r="G457" s="1597">
        <v>0</v>
      </c>
      <c r="H457" s="1408"/>
    </row>
    <row r="458" spans="1:8" ht="15.75" thickBot="1">
      <c r="A458" s="194"/>
      <c r="B458" s="1680">
        <v>85231</v>
      </c>
      <c r="C458" s="1104" t="s">
        <v>378</v>
      </c>
      <c r="D458" s="1105"/>
      <c r="E458" s="1432">
        <f>E459+E461</f>
        <v>0</v>
      </c>
      <c r="F458" s="1432">
        <f>F459+F461</f>
        <v>0</v>
      </c>
      <c r="G458" s="383">
        <f>G459+G461</f>
        <v>21282.560000000001</v>
      </c>
      <c r="H458" s="1108"/>
    </row>
    <row r="459" spans="1:8">
      <c r="A459" s="28"/>
      <c r="B459" s="4546" t="s">
        <v>21</v>
      </c>
      <c r="C459" s="4546"/>
      <c r="D459" s="384"/>
      <c r="E459" s="1412">
        <f>SUM(E460)</f>
        <v>0</v>
      </c>
      <c r="F459" s="1412">
        <f t="shared" ref="F459:G459" si="58">SUM(F460)</f>
        <v>0</v>
      </c>
      <c r="G459" s="1759">
        <f t="shared" si="58"/>
        <v>21282.560000000001</v>
      </c>
      <c r="H459" s="1384"/>
    </row>
    <row r="460" spans="1:8" ht="51">
      <c r="A460" s="28"/>
      <c r="B460" s="1799"/>
      <c r="C460" s="1733" t="s">
        <v>556</v>
      </c>
      <c r="D460" s="1705" t="s">
        <v>548</v>
      </c>
      <c r="E460" s="1391">
        <v>0</v>
      </c>
      <c r="F460" s="1387">
        <v>0</v>
      </c>
      <c r="G460" s="1388">
        <v>21282.560000000001</v>
      </c>
      <c r="H460" s="1389"/>
    </row>
    <row r="461" spans="1:8" ht="15.75" thickBot="1">
      <c r="A461" s="28"/>
      <c r="B461" s="4565" t="s">
        <v>26</v>
      </c>
      <c r="C461" s="4568"/>
      <c r="D461" s="1685"/>
      <c r="E461" s="1406">
        <v>0</v>
      </c>
      <c r="F461" s="1406">
        <v>0</v>
      </c>
      <c r="G461" s="1597">
        <v>0</v>
      </c>
      <c r="H461" s="1408"/>
    </row>
    <row r="462" spans="1:8" ht="15.75" thickBot="1">
      <c r="A462" s="28"/>
      <c r="B462" s="1103">
        <v>85295</v>
      </c>
      <c r="C462" s="1104" t="s">
        <v>44</v>
      </c>
      <c r="D462" s="1105"/>
      <c r="E462" s="831">
        <f>E463+E474</f>
        <v>3871981</v>
      </c>
      <c r="F462" s="831">
        <f>F463+F474</f>
        <v>4454009</v>
      </c>
      <c r="G462" s="1107">
        <f>G463+G474</f>
        <v>4156173.7800000003</v>
      </c>
      <c r="H462" s="1108">
        <f t="shared" si="57"/>
        <v>0.93313097930426281</v>
      </c>
    </row>
    <row r="463" spans="1:8">
      <c r="A463" s="28"/>
      <c r="B463" s="4522" t="s">
        <v>21</v>
      </c>
      <c r="C463" s="4542"/>
      <c r="D463" s="384"/>
      <c r="E463" s="1412">
        <f>SUM(E464:E473)</f>
        <v>3871981</v>
      </c>
      <c r="F463" s="1412">
        <f>SUM(F464:F473)</f>
        <v>4435781</v>
      </c>
      <c r="G463" s="285">
        <f>SUM(G464:G473)</f>
        <v>4136273.24</v>
      </c>
      <c r="H463" s="1384">
        <f t="shared" si="57"/>
        <v>0.93247913727030263</v>
      </c>
    </row>
    <row r="464" spans="1:8" ht="42" customHeight="1">
      <c r="A464" s="28"/>
      <c r="B464" s="1803"/>
      <c r="C464" s="1786" t="s">
        <v>230</v>
      </c>
      <c r="D464" s="876">
        <v>2007</v>
      </c>
      <c r="E464" s="1391">
        <v>2391539</v>
      </c>
      <c r="F464" s="1387">
        <v>2391539</v>
      </c>
      <c r="G464" s="1388">
        <v>2114758.14</v>
      </c>
      <c r="H464" s="1389">
        <f t="shared" si="57"/>
        <v>0.88426663332690791</v>
      </c>
    </row>
    <row r="465" spans="1:14" ht="39.75" customHeight="1">
      <c r="A465" s="28"/>
      <c r="B465" s="22"/>
      <c r="C465" s="1804" t="s">
        <v>231</v>
      </c>
      <c r="D465" s="1684">
        <v>2009</v>
      </c>
      <c r="E465" s="1416">
        <v>414979</v>
      </c>
      <c r="F465" s="1387">
        <v>414979</v>
      </c>
      <c r="G465" s="1388">
        <v>367064.69</v>
      </c>
      <c r="H465" s="1389">
        <f t="shared" si="57"/>
        <v>0.88453798866930611</v>
      </c>
      <c r="I465" s="1"/>
      <c r="J465" s="1"/>
    </row>
    <row r="466" spans="1:14" ht="42" customHeight="1" thickBot="1">
      <c r="A466" s="1801"/>
      <c r="B466" s="1805"/>
      <c r="C466" s="1806" t="s">
        <v>230</v>
      </c>
      <c r="D466" s="1807">
        <v>2057</v>
      </c>
      <c r="E466" s="893">
        <v>897972</v>
      </c>
      <c r="F466" s="894">
        <v>897972</v>
      </c>
      <c r="G466" s="895">
        <v>870301.21</v>
      </c>
      <c r="H466" s="896">
        <f t="shared" si="57"/>
        <v>0.96918524185609345</v>
      </c>
    </row>
    <row r="467" spans="1:14" ht="81.75" customHeight="1">
      <c r="A467" s="1802"/>
      <c r="B467" s="1808"/>
      <c r="C467" s="1809" t="s">
        <v>1062</v>
      </c>
      <c r="D467" s="1810">
        <v>2058</v>
      </c>
      <c r="E467" s="1811">
        <v>0</v>
      </c>
      <c r="F467" s="1812">
        <v>0</v>
      </c>
      <c r="G467" s="1813">
        <v>37887.410000000003</v>
      </c>
      <c r="H467" s="1814"/>
    </row>
    <row r="468" spans="1:14" ht="38.25">
      <c r="A468" s="28"/>
      <c r="B468" s="22"/>
      <c r="C468" s="1815" t="s">
        <v>232</v>
      </c>
      <c r="D468" s="4552" t="s">
        <v>138</v>
      </c>
      <c r="E468" s="1391">
        <v>167491</v>
      </c>
      <c r="F468" s="1387">
        <v>167491</v>
      </c>
      <c r="G468" s="1388">
        <v>161636.19</v>
      </c>
      <c r="H468" s="1389">
        <f t="shared" si="57"/>
        <v>0.96504403221665647</v>
      </c>
    </row>
    <row r="469" spans="1:14" ht="51" hidden="1">
      <c r="A469" s="28"/>
      <c r="B469" s="22"/>
      <c r="C469" s="1816" t="s">
        <v>233</v>
      </c>
      <c r="D469" s="4553"/>
      <c r="E469" s="1391">
        <v>0</v>
      </c>
      <c r="F469" s="1387"/>
      <c r="G469" s="1388"/>
      <c r="H469" s="1417"/>
    </row>
    <row r="470" spans="1:14" ht="38.25" hidden="1">
      <c r="A470" s="28"/>
      <c r="B470" s="22"/>
      <c r="C470" s="1817" t="s">
        <v>234</v>
      </c>
      <c r="D470" s="1747" t="s">
        <v>138</v>
      </c>
      <c r="E470" s="1416">
        <v>0</v>
      </c>
      <c r="F470" s="1387"/>
      <c r="G470" s="1388"/>
      <c r="H470" s="1417"/>
      <c r="N470" s="266"/>
    </row>
    <row r="471" spans="1:14" ht="38.25">
      <c r="A471" s="28"/>
      <c r="B471" s="22"/>
      <c r="C471" s="1352" t="s">
        <v>1032</v>
      </c>
      <c r="D471" s="1739" t="s">
        <v>42</v>
      </c>
      <c r="E471" s="1416">
        <v>0</v>
      </c>
      <c r="F471" s="1387">
        <v>0</v>
      </c>
      <c r="G471" s="1388">
        <v>5.64</v>
      </c>
      <c r="H471" s="1417"/>
    </row>
    <row r="472" spans="1:14" ht="39.950000000000003" customHeight="1">
      <c r="A472" s="28"/>
      <c r="B472" s="22"/>
      <c r="C472" s="4572" t="s">
        <v>553</v>
      </c>
      <c r="D472" s="267" t="s">
        <v>210</v>
      </c>
      <c r="E472" s="1416">
        <v>0</v>
      </c>
      <c r="F472" s="1387">
        <v>2353</v>
      </c>
      <c r="G472" s="1388">
        <v>2352.36</v>
      </c>
      <c r="H472" s="1389">
        <f>G472/F472</f>
        <v>0.99972800679983009</v>
      </c>
    </row>
    <row r="473" spans="1:14" ht="39.950000000000003" customHeight="1">
      <c r="A473" s="28"/>
      <c r="B473" s="1818"/>
      <c r="C473" s="4529"/>
      <c r="D473" s="1705" t="s">
        <v>211</v>
      </c>
      <c r="E473" s="1391">
        <v>0</v>
      </c>
      <c r="F473" s="1387">
        <v>561447</v>
      </c>
      <c r="G473" s="1388">
        <v>582267.6</v>
      </c>
      <c r="H473" s="1389">
        <f>G473/F473</f>
        <v>1.0370838209127486</v>
      </c>
    </row>
    <row r="474" spans="1:14">
      <c r="A474" s="28"/>
      <c r="B474" s="4567" t="s">
        <v>67</v>
      </c>
      <c r="C474" s="4547"/>
      <c r="D474" s="1715"/>
      <c r="E474" s="1570">
        <f>SUM(E475:E475)</f>
        <v>0</v>
      </c>
      <c r="F474" s="1570">
        <f>SUM(F475:F475)</f>
        <v>18228</v>
      </c>
      <c r="G474" s="1571">
        <f>SUM(G475:G475)</f>
        <v>19900.54</v>
      </c>
      <c r="H474" s="1819">
        <f t="shared" ref="H474:H475" si="59">G474/F474</f>
        <v>1.0917566381391266</v>
      </c>
    </row>
    <row r="475" spans="1:14" ht="41.25" customHeight="1" thickBot="1">
      <c r="A475" s="216"/>
      <c r="B475" s="265"/>
      <c r="C475" s="1820" t="s">
        <v>235</v>
      </c>
      <c r="D475" s="1695">
        <v>6699</v>
      </c>
      <c r="E475" s="893">
        <v>0</v>
      </c>
      <c r="F475" s="894">
        <v>18228</v>
      </c>
      <c r="G475" s="895">
        <v>19900.54</v>
      </c>
      <c r="H475" s="1389">
        <f t="shared" si="59"/>
        <v>1.0917566381391266</v>
      </c>
    </row>
    <row r="476" spans="1:14" s="1" customFormat="1" ht="16.5" customHeight="1" thickBot="1">
      <c r="A476" s="1096">
        <v>853</v>
      </c>
      <c r="B476" s="1097"/>
      <c r="C476" s="1098" t="s">
        <v>236</v>
      </c>
      <c r="D476" s="1099"/>
      <c r="E476" s="1821">
        <f>SUM(E477,E482,E488,E504)</f>
        <v>5784227</v>
      </c>
      <c r="F476" s="1821">
        <f>SUM(F477,F482,F488,F504)</f>
        <v>6080845</v>
      </c>
      <c r="G476" s="1443">
        <f>SUM(G477,G482,G488,G504)</f>
        <v>6633271.0899999999</v>
      </c>
      <c r="H476" s="736">
        <f t="shared" si="57"/>
        <v>1.0908469283463071</v>
      </c>
    </row>
    <row r="477" spans="1:14" ht="16.5" customHeight="1" thickBot="1">
      <c r="A477" s="1822"/>
      <c r="B477" s="1103">
        <v>85311</v>
      </c>
      <c r="C477" s="1104" t="s">
        <v>237</v>
      </c>
      <c r="D477" s="1109"/>
      <c r="E477" s="1110">
        <f>SUM(E478,E481)</f>
        <v>0</v>
      </c>
      <c r="F477" s="1110">
        <f>SUM(F478,F481)</f>
        <v>0</v>
      </c>
      <c r="G477" s="1107">
        <f>SUM(G478,G481)</f>
        <v>42.66</v>
      </c>
      <c r="H477" s="1108"/>
      <c r="I477" s="7"/>
      <c r="J477" s="47"/>
    </row>
    <row r="478" spans="1:14">
      <c r="A478" s="834"/>
      <c r="B478" s="4547" t="s">
        <v>21</v>
      </c>
      <c r="C478" s="4547"/>
      <c r="D478" s="1681"/>
      <c r="E478" s="388">
        <f>SUM(E479:E480)</f>
        <v>0</v>
      </c>
      <c r="F478" s="388">
        <f>SUM(F479:F480)</f>
        <v>0</v>
      </c>
      <c r="G478" s="389">
        <f>SUM(G479:G480)</f>
        <v>42.66</v>
      </c>
      <c r="H478" s="1384"/>
    </row>
    <row r="479" spans="1:14">
      <c r="A479" s="834"/>
      <c r="B479" s="4569"/>
      <c r="C479" s="4572" t="s">
        <v>1094</v>
      </c>
      <c r="D479" s="1705" t="s">
        <v>41</v>
      </c>
      <c r="E479" s="1391">
        <v>0</v>
      </c>
      <c r="F479" s="1387">
        <v>0</v>
      </c>
      <c r="G479" s="1388">
        <v>19.399999999999999</v>
      </c>
      <c r="H479" s="1417"/>
    </row>
    <row r="480" spans="1:14" ht="64.5" customHeight="1">
      <c r="A480" s="834"/>
      <c r="B480" s="4570"/>
      <c r="C480" s="4585"/>
      <c r="D480" s="1705" t="s">
        <v>42</v>
      </c>
      <c r="E480" s="1618">
        <v>0</v>
      </c>
      <c r="F480" s="1387">
        <v>0</v>
      </c>
      <c r="G480" s="1388">
        <v>23.26</v>
      </c>
      <c r="H480" s="1417"/>
    </row>
    <row r="481" spans="1:11" ht="15.75" thickBot="1">
      <c r="A481" s="1823"/>
      <c r="B481" s="4530" t="s">
        <v>26</v>
      </c>
      <c r="C481" s="4548"/>
      <c r="D481" s="1685"/>
      <c r="E481" s="717">
        <v>0</v>
      </c>
      <c r="F481" s="717">
        <v>0</v>
      </c>
      <c r="G481" s="1824">
        <v>0</v>
      </c>
      <c r="H481" s="1419"/>
    </row>
    <row r="482" spans="1:11" ht="15.75" thickBot="1">
      <c r="A482" s="1825"/>
      <c r="B482" s="1103">
        <v>85324</v>
      </c>
      <c r="C482" s="1104" t="s">
        <v>238</v>
      </c>
      <c r="D482" s="1109"/>
      <c r="E482" s="1110">
        <f>E483+E486</f>
        <v>669799</v>
      </c>
      <c r="F482" s="1110">
        <f>F483+F486</f>
        <v>669799</v>
      </c>
      <c r="G482" s="1107">
        <f>G483+G486</f>
        <v>1441204.29</v>
      </c>
      <c r="H482" s="1108">
        <f t="shared" si="57"/>
        <v>2.1516966881109107</v>
      </c>
    </row>
    <row r="483" spans="1:11">
      <c r="A483" s="151"/>
      <c r="B483" s="4547" t="s">
        <v>21</v>
      </c>
      <c r="C483" s="4547"/>
      <c r="D483" s="1681"/>
      <c r="E483" s="1412">
        <f>SUM(E484:E485)</f>
        <v>669799</v>
      </c>
      <c r="F483" s="1412">
        <f>SUM(F484:F485)</f>
        <v>669799</v>
      </c>
      <c r="G483" s="1759">
        <f>SUM(G484:G485)</f>
        <v>1332704.29</v>
      </c>
      <c r="H483" s="1384">
        <f t="shared" si="57"/>
        <v>1.9897077929348954</v>
      </c>
    </row>
    <row r="484" spans="1:11" ht="25.5">
      <c r="A484" s="151"/>
      <c r="B484" s="4569"/>
      <c r="C484" s="1683" t="s">
        <v>239</v>
      </c>
      <c r="D484" s="1705" t="s">
        <v>25</v>
      </c>
      <c r="E484" s="1391">
        <v>669799</v>
      </c>
      <c r="F484" s="1387">
        <v>669799</v>
      </c>
      <c r="G484" s="1388">
        <v>891204.29</v>
      </c>
      <c r="H484" s="1389">
        <f t="shared" si="57"/>
        <v>1.330554823163367</v>
      </c>
    </row>
    <row r="485" spans="1:11" ht="38.25">
      <c r="A485" s="151"/>
      <c r="B485" s="4570"/>
      <c r="C485" s="948" t="s">
        <v>1031</v>
      </c>
      <c r="D485" s="1704" t="s">
        <v>74</v>
      </c>
      <c r="E485" s="1095">
        <v>0</v>
      </c>
      <c r="F485" s="706">
        <v>0</v>
      </c>
      <c r="G485" s="707">
        <v>441500</v>
      </c>
      <c r="H485" s="1389"/>
    </row>
    <row r="486" spans="1:11">
      <c r="A486" s="151"/>
      <c r="B486" s="4561" t="s">
        <v>67</v>
      </c>
      <c r="C486" s="4562"/>
      <c r="D486" s="1779"/>
      <c r="E486" s="1423">
        <v>0</v>
      </c>
      <c r="F486" s="1423">
        <v>0</v>
      </c>
      <c r="G486" s="1734">
        <f>SUM(G487)</f>
        <v>108500</v>
      </c>
      <c r="H486" s="1474"/>
    </row>
    <row r="487" spans="1:11" ht="39.75" customHeight="1" thickBot="1">
      <c r="A487" s="26"/>
      <c r="B487" s="1189"/>
      <c r="C487" s="948" t="s">
        <v>1031</v>
      </c>
      <c r="D487" s="1151">
        <v>6350</v>
      </c>
      <c r="E487" s="1190">
        <v>0</v>
      </c>
      <c r="F487" s="1190">
        <v>0</v>
      </c>
      <c r="G487" s="707">
        <v>108500</v>
      </c>
      <c r="H487" s="708"/>
    </row>
    <row r="488" spans="1:11" ht="15.75" thickBot="1">
      <c r="A488" s="151"/>
      <c r="B488" s="1103">
        <v>85332</v>
      </c>
      <c r="C488" s="1104" t="s">
        <v>240</v>
      </c>
      <c r="D488" s="1105"/>
      <c r="E488" s="1106">
        <f>SUM(E489,E503)</f>
        <v>5114428</v>
      </c>
      <c r="F488" s="1106">
        <f>SUM(F489,F503)</f>
        <v>5166046</v>
      </c>
      <c r="G488" s="1107">
        <f>SUM(G489,G503)</f>
        <v>4922118.21</v>
      </c>
      <c r="H488" s="1108">
        <f t="shared" si="57"/>
        <v>0.95278249748453647</v>
      </c>
    </row>
    <row r="489" spans="1:11">
      <c r="A489" s="151"/>
      <c r="B489" s="4542" t="s">
        <v>21</v>
      </c>
      <c r="C489" s="4542"/>
      <c r="D489" s="1686"/>
      <c r="E489" s="1400">
        <f>SUM(E490:E502)</f>
        <v>5114428</v>
      </c>
      <c r="F489" s="1400">
        <f>SUM(F490:F502)</f>
        <v>5166046</v>
      </c>
      <c r="G489" s="1476">
        <f>SUM(G490:G502)</f>
        <v>4922118.21</v>
      </c>
      <c r="H489" s="1384">
        <f t="shared" si="57"/>
        <v>0.95278249748453647</v>
      </c>
    </row>
    <row r="490" spans="1:11">
      <c r="A490" s="26"/>
      <c r="B490" s="4554"/>
      <c r="C490" s="4579" t="s">
        <v>167</v>
      </c>
      <c r="D490" s="1747" t="s">
        <v>94</v>
      </c>
      <c r="E490" s="1391">
        <v>0</v>
      </c>
      <c r="F490" s="1387">
        <v>0</v>
      </c>
      <c r="G490" s="1388">
        <v>50</v>
      </c>
      <c r="H490" s="1417"/>
    </row>
    <row r="491" spans="1:11">
      <c r="A491" s="26"/>
      <c r="B491" s="4555"/>
      <c r="C491" s="4528"/>
      <c r="D491" s="1747" t="s">
        <v>87</v>
      </c>
      <c r="E491" s="1391">
        <v>0</v>
      </c>
      <c r="F491" s="1387">
        <v>0</v>
      </c>
      <c r="G491" s="1388">
        <v>1232.2</v>
      </c>
      <c r="H491" s="1417"/>
    </row>
    <row r="492" spans="1:11" ht="15" customHeight="1">
      <c r="A492" s="151"/>
      <c r="B492" s="4555"/>
      <c r="C492" s="4528"/>
      <c r="D492" s="1748" t="s">
        <v>96</v>
      </c>
      <c r="E492" s="1391">
        <v>0</v>
      </c>
      <c r="F492" s="1387">
        <v>0</v>
      </c>
      <c r="G492" s="1388">
        <v>179.57</v>
      </c>
      <c r="H492" s="1417"/>
    </row>
    <row r="493" spans="1:11" ht="15" customHeight="1">
      <c r="A493" s="151"/>
      <c r="B493" s="4555"/>
      <c r="C493" s="4528"/>
      <c r="D493" s="1748" t="s">
        <v>24</v>
      </c>
      <c r="E493" s="1391">
        <v>0</v>
      </c>
      <c r="F493" s="1387">
        <v>0</v>
      </c>
      <c r="G493" s="1388">
        <v>6.92</v>
      </c>
      <c r="H493" s="1417"/>
    </row>
    <row r="494" spans="1:11">
      <c r="A494" s="151"/>
      <c r="B494" s="4555"/>
      <c r="C494" s="4528"/>
      <c r="D494" s="1748" t="s">
        <v>41</v>
      </c>
      <c r="E494" s="1391">
        <v>0</v>
      </c>
      <c r="F494" s="1387">
        <v>0</v>
      </c>
      <c r="G494" s="1388">
        <v>904.36</v>
      </c>
      <c r="H494" s="1417"/>
      <c r="K494" s="1"/>
    </row>
    <row r="495" spans="1:11">
      <c r="A495" s="151"/>
      <c r="B495" s="4555"/>
      <c r="C495" s="4528"/>
      <c r="D495" s="1748" t="s">
        <v>45</v>
      </c>
      <c r="E495" s="1391">
        <v>0</v>
      </c>
      <c r="F495" s="1387">
        <v>0</v>
      </c>
      <c r="G495" s="1388">
        <v>52405.68</v>
      </c>
      <c r="H495" s="1417"/>
    </row>
    <row r="496" spans="1:11">
      <c r="A496" s="151"/>
      <c r="B496" s="4555"/>
      <c r="C496" s="4528"/>
      <c r="D496" s="1748" t="s">
        <v>241</v>
      </c>
      <c r="E496" s="1391">
        <v>0</v>
      </c>
      <c r="F496" s="1387">
        <v>159</v>
      </c>
      <c r="G496" s="1388">
        <v>157.43</v>
      </c>
      <c r="H496" s="1389">
        <f t="shared" si="57"/>
        <v>0.99012578616352209</v>
      </c>
    </row>
    <row r="497" spans="1:8">
      <c r="A497" s="151"/>
      <c r="B497" s="4555"/>
      <c r="C497" s="4528"/>
      <c r="D497" s="1748" t="s">
        <v>128</v>
      </c>
      <c r="E497" s="1391">
        <v>0</v>
      </c>
      <c r="F497" s="1387">
        <v>0</v>
      </c>
      <c r="G497" s="1388">
        <v>28.57</v>
      </c>
      <c r="H497" s="1389"/>
    </row>
    <row r="498" spans="1:8">
      <c r="A498" s="151"/>
      <c r="B498" s="4555"/>
      <c r="C498" s="4528"/>
      <c r="D498" s="1748" t="s">
        <v>32</v>
      </c>
      <c r="E498" s="1391">
        <v>0</v>
      </c>
      <c r="F498" s="1387">
        <v>0</v>
      </c>
      <c r="G498" s="1388">
        <v>2503.65</v>
      </c>
      <c r="H498" s="1389"/>
    </row>
    <row r="499" spans="1:8">
      <c r="A499" s="151"/>
      <c r="B499" s="4555"/>
      <c r="C499" s="4529"/>
      <c r="D499" s="1748" t="s">
        <v>25</v>
      </c>
      <c r="E499" s="1391">
        <v>7668</v>
      </c>
      <c r="F499" s="1387">
        <v>7668</v>
      </c>
      <c r="G499" s="1388">
        <v>16410.5</v>
      </c>
      <c r="H499" s="1389">
        <f t="shared" si="57"/>
        <v>2.1401278038601981</v>
      </c>
    </row>
    <row r="500" spans="1:8" ht="39" customHeight="1">
      <c r="A500" s="151"/>
      <c r="B500" s="4555"/>
      <c r="C500" s="1777" t="s">
        <v>242</v>
      </c>
      <c r="D500" s="1704" t="s">
        <v>130</v>
      </c>
      <c r="E500" s="1391">
        <v>3539760</v>
      </c>
      <c r="F500" s="1387">
        <v>3539760</v>
      </c>
      <c r="G500" s="1388">
        <v>3326635.21</v>
      </c>
      <c r="H500" s="1389">
        <f t="shared" si="57"/>
        <v>0.93979117510791688</v>
      </c>
    </row>
    <row r="501" spans="1:8" ht="21.75" customHeight="1">
      <c r="A501" s="151"/>
      <c r="B501" s="4555"/>
      <c r="C501" s="1777" t="s">
        <v>243</v>
      </c>
      <c r="D501" s="1705" t="s">
        <v>74</v>
      </c>
      <c r="E501" s="1391">
        <v>1566000</v>
      </c>
      <c r="F501" s="1387">
        <v>1614319</v>
      </c>
      <c r="G501" s="1388">
        <v>1518964.12</v>
      </c>
      <c r="H501" s="1389">
        <f t="shared" si="57"/>
        <v>0.94093182326417524</v>
      </c>
    </row>
    <row r="502" spans="1:8" ht="39.75" customHeight="1">
      <c r="A502" s="151"/>
      <c r="B502" s="4556"/>
      <c r="C502" s="1683" t="s">
        <v>46</v>
      </c>
      <c r="D502" s="1705" t="s">
        <v>121</v>
      </c>
      <c r="E502" s="1391">
        <v>1000</v>
      </c>
      <c r="F502" s="1387">
        <v>4140</v>
      </c>
      <c r="G502" s="1388">
        <v>2640</v>
      </c>
      <c r="H502" s="1389">
        <f t="shared" si="57"/>
        <v>0.6376811594202898</v>
      </c>
    </row>
    <row r="503" spans="1:8" ht="15.75" thickBot="1">
      <c r="A503" s="1826"/>
      <c r="B503" s="4548" t="s">
        <v>26</v>
      </c>
      <c r="C503" s="4548"/>
      <c r="D503" s="1685"/>
      <c r="E503" s="1406">
        <v>0</v>
      </c>
      <c r="F503" s="1406">
        <v>0</v>
      </c>
      <c r="G503" s="1827">
        <v>0</v>
      </c>
      <c r="H503" s="1419"/>
    </row>
    <row r="504" spans="1:8" ht="15.75" thickBot="1">
      <c r="A504" s="1825"/>
      <c r="B504" s="1103">
        <v>85395</v>
      </c>
      <c r="C504" s="1104" t="s">
        <v>44</v>
      </c>
      <c r="D504" s="1105"/>
      <c r="E504" s="1106">
        <f>SUM(E505+E512)</f>
        <v>0</v>
      </c>
      <c r="F504" s="1106">
        <f>SUM(F505+F512)</f>
        <v>245000</v>
      </c>
      <c r="G504" s="1107">
        <f>SUM(G505+G512)</f>
        <v>269905.93</v>
      </c>
      <c r="H504" s="1108">
        <f t="shared" si="57"/>
        <v>1.1016568571428571</v>
      </c>
    </row>
    <row r="505" spans="1:8">
      <c r="A505" s="151"/>
      <c r="B505" s="4583" t="s">
        <v>21</v>
      </c>
      <c r="C505" s="4584"/>
      <c r="D505" s="1686"/>
      <c r="E505" s="1400">
        <f>SUM(E506:E511)</f>
        <v>0</v>
      </c>
      <c r="F505" s="1400">
        <f>SUM(F506:F511)</f>
        <v>245000</v>
      </c>
      <c r="G505" s="1476">
        <f>SUM(G506:G511)</f>
        <v>269905.93</v>
      </c>
      <c r="H505" s="1384">
        <f t="shared" si="57"/>
        <v>1.1016568571428571</v>
      </c>
    </row>
    <row r="506" spans="1:8" ht="51">
      <c r="A506" s="151"/>
      <c r="B506" s="854"/>
      <c r="C506" s="1828" t="s">
        <v>65</v>
      </c>
      <c r="D506" s="832">
        <v>2918</v>
      </c>
      <c r="E506" s="1416">
        <v>0</v>
      </c>
      <c r="F506" s="1468">
        <v>1911</v>
      </c>
      <c r="G506" s="1469">
        <v>2543.14</v>
      </c>
      <c r="H506" s="1450">
        <f t="shared" si="57"/>
        <v>1.3307901622187335</v>
      </c>
    </row>
    <row r="507" spans="1:8" ht="63.75">
      <c r="A507" s="151"/>
      <c r="B507" s="854"/>
      <c r="C507" s="1829" t="s">
        <v>68</v>
      </c>
      <c r="D507" s="4563">
        <v>2919</v>
      </c>
      <c r="E507" s="1391">
        <v>0</v>
      </c>
      <c r="F507" s="1387">
        <v>495</v>
      </c>
      <c r="G507" s="1388">
        <v>494.77</v>
      </c>
      <c r="H507" s="1389">
        <f t="shared" si="57"/>
        <v>0.9995353535353535</v>
      </c>
    </row>
    <row r="508" spans="1:8" s="12" customFormat="1" ht="63.75">
      <c r="A508" s="151"/>
      <c r="B508" s="854"/>
      <c r="C508" s="1829" t="s">
        <v>244</v>
      </c>
      <c r="D508" s="4571"/>
      <c r="E508" s="1391">
        <v>0</v>
      </c>
      <c r="F508" s="1572">
        <v>238</v>
      </c>
      <c r="G508" s="1573">
        <v>237.77</v>
      </c>
      <c r="H508" s="1389">
        <f t="shared" si="57"/>
        <v>0.99903361344537822</v>
      </c>
    </row>
    <row r="509" spans="1:8" s="12" customFormat="1" ht="51">
      <c r="A509" s="151"/>
      <c r="B509" s="854"/>
      <c r="C509" s="1829" t="s">
        <v>1017</v>
      </c>
      <c r="D509" s="4571"/>
      <c r="E509" s="1095">
        <v>0</v>
      </c>
      <c r="F509" s="1572">
        <v>355</v>
      </c>
      <c r="G509" s="1573">
        <v>465.53</v>
      </c>
      <c r="H509" s="1389">
        <f t="shared" si="57"/>
        <v>1.3113521126760563</v>
      </c>
    </row>
    <row r="510" spans="1:8" s="12" customFormat="1" ht="38.25">
      <c r="A510" s="151"/>
      <c r="B510" s="854"/>
      <c r="C510" s="1830" t="s">
        <v>66</v>
      </c>
      <c r="D510" s="4563">
        <v>2959</v>
      </c>
      <c r="E510" s="1391">
        <v>0</v>
      </c>
      <c r="F510" s="1572">
        <v>143982</v>
      </c>
      <c r="G510" s="1573">
        <v>154050.21</v>
      </c>
      <c r="H510" s="1389">
        <f t="shared" ref="H510:H574" si="60">G510/F510</f>
        <v>1.0699268658582322</v>
      </c>
    </row>
    <row r="511" spans="1:8" s="12" customFormat="1" ht="38.25">
      <c r="A511" s="4578"/>
      <c r="B511" s="1696"/>
      <c r="C511" s="1828" t="s">
        <v>245</v>
      </c>
      <c r="D511" s="4564"/>
      <c r="E511" s="1416">
        <v>0</v>
      </c>
      <c r="F511" s="1572">
        <v>98019</v>
      </c>
      <c r="G511" s="1573">
        <v>112114.51</v>
      </c>
      <c r="H511" s="1389">
        <f t="shared" si="60"/>
        <v>1.1438038543547679</v>
      </c>
    </row>
    <row r="512" spans="1:8" s="12" customFormat="1" ht="15.75" thickBot="1">
      <c r="A512" s="4578"/>
      <c r="B512" s="4546" t="s">
        <v>26</v>
      </c>
      <c r="C512" s="4546"/>
      <c r="D512" s="384"/>
      <c r="E512" s="388">
        <v>0</v>
      </c>
      <c r="F512" s="388">
        <v>0</v>
      </c>
      <c r="G512" s="881">
        <v>0</v>
      </c>
      <c r="H512" s="1831"/>
    </row>
    <row r="513" spans="1:8" s="12" customFormat="1" ht="15.75" thickBot="1">
      <c r="A513" s="1832">
        <v>854</v>
      </c>
      <c r="B513" s="1096"/>
      <c r="C513" s="1098" t="s">
        <v>246</v>
      </c>
      <c r="D513" s="1099"/>
      <c r="E513" s="1833">
        <f>SUM(E514,E518)</f>
        <v>0</v>
      </c>
      <c r="F513" s="1833">
        <f t="shared" ref="F513:G513" si="61">SUM(F514,F518)</f>
        <v>0</v>
      </c>
      <c r="G513" s="1834">
        <f t="shared" si="61"/>
        <v>160.15</v>
      </c>
      <c r="H513" s="736"/>
    </row>
    <row r="514" spans="1:8" s="12" customFormat="1" ht="15.75" thickBot="1">
      <c r="A514" s="4580"/>
      <c r="B514" s="1835">
        <v>85410</v>
      </c>
      <c r="C514" s="1104" t="s">
        <v>247</v>
      </c>
      <c r="D514" s="1836"/>
      <c r="E514" s="1837">
        <f>SUM(E515,E517)</f>
        <v>0</v>
      </c>
      <c r="F514" s="1837">
        <f t="shared" ref="F514:G514" si="62">SUM(F515,F517)</f>
        <v>0</v>
      </c>
      <c r="G514" s="1838">
        <f t="shared" si="62"/>
        <v>20.149999999999999</v>
      </c>
      <c r="H514" s="1108"/>
    </row>
    <row r="515" spans="1:8" s="12" customFormat="1">
      <c r="A515" s="4581"/>
      <c r="B515" s="4522" t="s">
        <v>21</v>
      </c>
      <c r="C515" s="4542"/>
      <c r="D515" s="1686"/>
      <c r="E515" s="1839">
        <f>SUM(E516)</f>
        <v>0</v>
      </c>
      <c r="F515" s="1839">
        <f t="shared" ref="F515:G515" si="63">SUM(F516)</f>
        <v>0</v>
      </c>
      <c r="G515" s="1840">
        <f t="shared" si="63"/>
        <v>20.149999999999999</v>
      </c>
      <c r="H515" s="1687"/>
    </row>
    <row r="516" spans="1:8" s="12" customFormat="1" ht="27" customHeight="1">
      <c r="A516" s="4581"/>
      <c r="B516" s="844"/>
      <c r="C516" s="845" t="s">
        <v>197</v>
      </c>
      <c r="D516" s="832">
        <v>2400</v>
      </c>
      <c r="E516" s="1391">
        <v>0</v>
      </c>
      <c r="F516" s="1572">
        <v>0</v>
      </c>
      <c r="G516" s="1573">
        <v>20.149999999999999</v>
      </c>
      <c r="H516" s="1417"/>
    </row>
    <row r="517" spans="1:8" s="12" customFormat="1" ht="15.75" thickBot="1">
      <c r="A517" s="4582"/>
      <c r="B517" s="4530" t="s">
        <v>26</v>
      </c>
      <c r="C517" s="4548"/>
      <c r="D517" s="1685"/>
      <c r="E517" s="717">
        <v>0</v>
      </c>
      <c r="F517" s="717">
        <v>0</v>
      </c>
      <c r="G517" s="1407">
        <v>0</v>
      </c>
      <c r="H517" s="1609"/>
    </row>
    <row r="518" spans="1:8" s="12" customFormat="1" ht="15.75" thickBot="1">
      <c r="A518" s="4580"/>
      <c r="B518" s="1835">
        <v>85417</v>
      </c>
      <c r="C518" s="1104" t="s">
        <v>369</v>
      </c>
      <c r="D518" s="1836"/>
      <c r="E518" s="1837">
        <f>SUM(E519,E521)</f>
        <v>0</v>
      </c>
      <c r="F518" s="1837">
        <f t="shared" ref="F518" si="64">SUM(F519,F521)</f>
        <v>0</v>
      </c>
      <c r="G518" s="1838">
        <f t="shared" ref="G518" si="65">SUM(G519,G521)</f>
        <v>140</v>
      </c>
      <c r="H518" s="1108"/>
    </row>
    <row r="519" spans="1:8" s="12" customFormat="1">
      <c r="A519" s="4581"/>
      <c r="B519" s="4522" t="s">
        <v>21</v>
      </c>
      <c r="C519" s="4542"/>
      <c r="D519" s="1686"/>
      <c r="E519" s="1839">
        <f>SUM(E520)</f>
        <v>0</v>
      </c>
      <c r="F519" s="1839">
        <f t="shared" ref="F519" si="66">SUM(F520)</f>
        <v>0</v>
      </c>
      <c r="G519" s="1840">
        <f t="shared" ref="G519" si="67">SUM(G520)</f>
        <v>140</v>
      </c>
      <c r="H519" s="1687"/>
    </row>
    <row r="520" spans="1:8" s="12" customFormat="1" ht="26.25" customHeight="1">
      <c r="A520" s="4581"/>
      <c r="B520" s="844"/>
      <c r="C520" s="845" t="s">
        <v>197</v>
      </c>
      <c r="D520" s="832">
        <v>2400</v>
      </c>
      <c r="E520" s="1391">
        <v>0</v>
      </c>
      <c r="F520" s="1572">
        <v>0</v>
      </c>
      <c r="G520" s="1573">
        <v>140</v>
      </c>
      <c r="H520" s="1417"/>
    </row>
    <row r="521" spans="1:8" s="12" customFormat="1" ht="15.75" thickBot="1">
      <c r="A521" s="4582"/>
      <c r="B521" s="4530" t="s">
        <v>26</v>
      </c>
      <c r="C521" s="4548"/>
      <c r="D521" s="1685"/>
      <c r="E521" s="717">
        <v>0</v>
      </c>
      <c r="F521" s="717">
        <v>0</v>
      </c>
      <c r="G521" s="1407">
        <v>0</v>
      </c>
      <c r="H521" s="1609"/>
    </row>
    <row r="522" spans="1:8" s="12" customFormat="1" ht="15.75" thickBot="1">
      <c r="A522" s="835">
        <v>855</v>
      </c>
      <c r="B522" s="427"/>
      <c r="C522" s="824" t="s">
        <v>248</v>
      </c>
      <c r="D522" s="825"/>
      <c r="E522" s="833">
        <f>SUM(E523,E533,E529)</f>
        <v>8509955</v>
      </c>
      <c r="F522" s="833">
        <f>SUM(F523,F533,F529)</f>
        <v>9317456</v>
      </c>
      <c r="G522" s="294">
        <f>SUM(G523,G533,G529)</f>
        <v>7828084.1399999997</v>
      </c>
      <c r="H522" s="241">
        <f t="shared" si="60"/>
        <v>0.84015252017288833</v>
      </c>
    </row>
    <row r="523" spans="1:8" s="12" customFormat="1" ht="15.75" thickBot="1">
      <c r="A523" s="1841"/>
      <c r="B523" s="1835">
        <v>85504</v>
      </c>
      <c r="C523" s="1104" t="s">
        <v>249</v>
      </c>
      <c r="D523" s="1836"/>
      <c r="E523" s="831">
        <f>E524+E528</f>
        <v>0</v>
      </c>
      <c r="F523" s="831">
        <f>F524+F528</f>
        <v>0</v>
      </c>
      <c r="G523" s="383">
        <f>G524+G528</f>
        <v>2868.76</v>
      </c>
      <c r="H523" s="1108"/>
    </row>
    <row r="524" spans="1:8" s="12" customFormat="1">
      <c r="A524" s="836"/>
      <c r="B524" s="4547" t="s">
        <v>21</v>
      </c>
      <c r="C524" s="4547"/>
      <c r="D524" s="1681"/>
      <c r="E524" s="1412">
        <f>SUM(E525:E527)</f>
        <v>0</v>
      </c>
      <c r="F524" s="1412">
        <f t="shared" ref="F524:G524" si="68">SUM(F525:F527)</f>
        <v>0</v>
      </c>
      <c r="G524" s="1759">
        <f t="shared" si="68"/>
        <v>2868.76</v>
      </c>
      <c r="H524" s="1384"/>
    </row>
    <row r="525" spans="1:8" s="12" customFormat="1" ht="19.5" customHeight="1">
      <c r="A525" s="26"/>
      <c r="B525" s="152"/>
      <c r="C525" s="4806" t="s">
        <v>1118</v>
      </c>
      <c r="D525" s="1842" t="s">
        <v>69</v>
      </c>
      <c r="E525" s="1618">
        <v>0</v>
      </c>
      <c r="F525" s="1572">
        <v>0</v>
      </c>
      <c r="G525" s="1573">
        <v>151.33000000000001</v>
      </c>
      <c r="H525" s="1417"/>
    </row>
    <row r="526" spans="1:8" s="12" customFormat="1" ht="19.5" customHeight="1">
      <c r="A526" s="26"/>
      <c r="B526" s="152"/>
      <c r="C526" s="4807"/>
      <c r="D526" s="1705" t="s">
        <v>42</v>
      </c>
      <c r="E526" s="1618">
        <v>0</v>
      </c>
      <c r="F526" s="1572">
        <v>0</v>
      </c>
      <c r="G526" s="1573">
        <v>1081.8800000000001</v>
      </c>
      <c r="H526" s="1417"/>
    </row>
    <row r="527" spans="1:8" s="19" customFormat="1" ht="19.5" customHeight="1">
      <c r="A527" s="26"/>
      <c r="B527" s="152"/>
      <c r="C527" s="4808"/>
      <c r="D527" s="1705" t="s">
        <v>79</v>
      </c>
      <c r="E527" s="1618"/>
      <c r="F527" s="1387">
        <v>0</v>
      </c>
      <c r="G527" s="1388">
        <v>1635.55</v>
      </c>
      <c r="H527" s="1417"/>
    </row>
    <row r="528" spans="1:8" ht="15.75" thickBot="1">
      <c r="A528" s="26"/>
      <c r="B528" s="4530" t="s">
        <v>26</v>
      </c>
      <c r="C528" s="4548"/>
      <c r="D528" s="1685"/>
      <c r="E528" s="717">
        <v>0</v>
      </c>
      <c r="F528" s="717">
        <v>0</v>
      </c>
      <c r="G528" s="1407">
        <v>0</v>
      </c>
      <c r="H528" s="1609"/>
    </row>
    <row r="529" spans="1:8" ht="15.75" thickBot="1">
      <c r="A529" s="21"/>
      <c r="B529" s="839">
        <v>85509</v>
      </c>
      <c r="C529" s="812" t="s">
        <v>250</v>
      </c>
      <c r="D529" s="837"/>
      <c r="E529" s="838">
        <f t="shared" ref="E529:G529" si="69">E530+E532</f>
        <v>1758000</v>
      </c>
      <c r="F529" s="838">
        <f t="shared" si="69"/>
        <v>2565501</v>
      </c>
      <c r="G529" s="438">
        <f t="shared" si="69"/>
        <v>2541499.42</v>
      </c>
      <c r="H529" s="439">
        <f t="shared" si="60"/>
        <v>0.99064448620366941</v>
      </c>
    </row>
    <row r="530" spans="1:8">
      <c r="A530" s="21"/>
      <c r="B530" s="4547" t="s">
        <v>21</v>
      </c>
      <c r="C530" s="4547"/>
      <c r="D530" s="1681"/>
      <c r="E530" s="1412">
        <f t="shared" ref="E530:G530" si="70">E531</f>
        <v>1758000</v>
      </c>
      <c r="F530" s="1412">
        <f t="shared" si="70"/>
        <v>2565501</v>
      </c>
      <c r="G530" s="285">
        <f t="shared" si="70"/>
        <v>2541499.42</v>
      </c>
      <c r="H530" s="1486">
        <f t="shared" si="60"/>
        <v>0.99064448620366941</v>
      </c>
    </row>
    <row r="531" spans="1:8" ht="38.25">
      <c r="A531" s="21"/>
      <c r="B531" s="1793"/>
      <c r="C531" s="1683" t="s">
        <v>46</v>
      </c>
      <c r="D531" s="1705" t="s">
        <v>121</v>
      </c>
      <c r="E531" s="1391">
        <v>1758000</v>
      </c>
      <c r="F531" s="1387">
        <v>2565501</v>
      </c>
      <c r="G531" s="1388">
        <v>2541499.42</v>
      </c>
      <c r="H531" s="1450">
        <f t="shared" si="60"/>
        <v>0.99064448620366941</v>
      </c>
    </row>
    <row r="532" spans="1:8" ht="15.75" thickBot="1">
      <c r="A532" s="21"/>
      <c r="B532" s="4530" t="s">
        <v>26</v>
      </c>
      <c r="C532" s="4548"/>
      <c r="D532" s="1685"/>
      <c r="E532" s="1406">
        <v>0</v>
      </c>
      <c r="F532" s="1406">
        <v>0</v>
      </c>
      <c r="G532" s="1407">
        <v>0</v>
      </c>
      <c r="H532" s="1419"/>
    </row>
    <row r="533" spans="1:8" ht="15.75" thickBot="1">
      <c r="A533" s="21"/>
      <c r="B533" s="1835">
        <v>85510</v>
      </c>
      <c r="C533" s="1843" t="s">
        <v>251</v>
      </c>
      <c r="D533" s="1836"/>
      <c r="E533" s="831">
        <f>SUM(E534,E536)</f>
        <v>6751955</v>
      </c>
      <c r="F533" s="831">
        <f>SUM(F534,F536)</f>
        <v>6751955</v>
      </c>
      <c r="G533" s="1107">
        <f>SUM(G534,G536)</f>
        <v>5283715.96</v>
      </c>
      <c r="H533" s="1108">
        <f t="shared" si="60"/>
        <v>0.78254608628167688</v>
      </c>
    </row>
    <row r="534" spans="1:8">
      <c r="A534" s="21"/>
      <c r="B534" s="4567" t="s">
        <v>21</v>
      </c>
      <c r="C534" s="4547"/>
      <c r="D534" s="1681"/>
      <c r="E534" s="1412">
        <f>SUM(E535:E535)</f>
        <v>6751955</v>
      </c>
      <c r="F534" s="1412">
        <f>SUM(F535:F535)</f>
        <v>6751955</v>
      </c>
      <c r="G534" s="285">
        <f>SUM(G535:G535)</f>
        <v>5283715.96</v>
      </c>
      <c r="H534" s="1486">
        <f t="shared" si="60"/>
        <v>0.78254608628167688</v>
      </c>
    </row>
    <row r="535" spans="1:8" ht="38.25">
      <c r="A535" s="21"/>
      <c r="B535" s="840"/>
      <c r="C535" s="1683" t="s">
        <v>252</v>
      </c>
      <c r="D535" s="1705" t="s">
        <v>253</v>
      </c>
      <c r="E535" s="1391">
        <v>6751955</v>
      </c>
      <c r="F535" s="1387">
        <v>6751955</v>
      </c>
      <c r="G535" s="1388">
        <v>5283715.96</v>
      </c>
      <c r="H535" s="1389">
        <f t="shared" si="60"/>
        <v>0.78254608628167688</v>
      </c>
    </row>
    <row r="536" spans="1:8" ht="15.75" thickBot="1">
      <c r="A536" s="23"/>
      <c r="B536" s="4530" t="s">
        <v>26</v>
      </c>
      <c r="C536" s="4548"/>
      <c r="D536" s="1685"/>
      <c r="E536" s="717">
        <v>0</v>
      </c>
      <c r="F536" s="1406">
        <v>0</v>
      </c>
      <c r="G536" s="1407">
        <v>0</v>
      </c>
      <c r="H536" s="1419"/>
    </row>
    <row r="537" spans="1:8" s="1" customFormat="1" ht="15.75" thickBot="1">
      <c r="A537" s="1846">
        <v>900</v>
      </c>
      <c r="B537" s="1847"/>
      <c r="C537" s="1848" t="s">
        <v>254</v>
      </c>
      <c r="D537" s="1849"/>
      <c r="E537" s="64">
        <f>SUM(E538,E545,E549,E556,E565,E571,E577)</f>
        <v>574700</v>
      </c>
      <c r="F537" s="64">
        <f>SUM(F538,F545,F549,F556,F565,F571,F577)</f>
        <v>1533204</v>
      </c>
      <c r="G537" s="200">
        <f>SUM(G538,G545,G549,G556,G565,G571,G577)</f>
        <v>20272971.929999996</v>
      </c>
      <c r="H537" s="1372">
        <f t="shared" si="60"/>
        <v>13.222618731753894</v>
      </c>
    </row>
    <row r="538" spans="1:8" ht="15.75" thickBot="1">
      <c r="A538" s="1743"/>
      <c r="B538" s="1835">
        <v>90005</v>
      </c>
      <c r="C538" s="1843" t="s">
        <v>255</v>
      </c>
      <c r="D538" s="1850"/>
      <c r="E538" s="1851">
        <f t="shared" ref="E538:G538" si="71">SUM(E539,E544)</f>
        <v>0</v>
      </c>
      <c r="F538" s="1106">
        <f t="shared" si="71"/>
        <v>806604</v>
      </c>
      <c r="G538" s="1107">
        <f t="shared" si="71"/>
        <v>19120378.119999997</v>
      </c>
      <c r="H538" s="1108">
        <f t="shared" si="60"/>
        <v>23.704789611754958</v>
      </c>
    </row>
    <row r="539" spans="1:8">
      <c r="A539" s="21"/>
      <c r="B539" s="4522" t="s">
        <v>21</v>
      </c>
      <c r="C539" s="4542"/>
      <c r="D539" s="1852"/>
      <c r="E539" s="1853">
        <f>SUM(E540:E543)</f>
        <v>0</v>
      </c>
      <c r="F539" s="1854">
        <f>SUM(F540:F543)</f>
        <v>806604</v>
      </c>
      <c r="G539" s="1855">
        <f>SUM(G540:G543)</f>
        <v>19120378.119999997</v>
      </c>
      <c r="H539" s="1384">
        <f t="shared" si="60"/>
        <v>23.704789611754958</v>
      </c>
    </row>
    <row r="540" spans="1:8" ht="63.75">
      <c r="A540" s="21"/>
      <c r="B540" s="4575"/>
      <c r="C540" s="1856" t="s">
        <v>1000</v>
      </c>
      <c r="D540" s="808">
        <v>2001</v>
      </c>
      <c r="E540" s="738">
        <v>0</v>
      </c>
      <c r="F540" s="706">
        <v>0</v>
      </c>
      <c r="G540" s="707">
        <v>18313775.829999998</v>
      </c>
      <c r="H540" s="1727"/>
    </row>
    <row r="541" spans="1:8" ht="38.25">
      <c r="A541" s="21"/>
      <c r="B541" s="4543"/>
      <c r="C541" s="1706" t="s">
        <v>46</v>
      </c>
      <c r="D541" s="1778">
        <v>2210</v>
      </c>
      <c r="E541" s="1618">
        <v>0</v>
      </c>
      <c r="F541" s="1387">
        <v>339673</v>
      </c>
      <c r="G541" s="1388">
        <v>339672.09</v>
      </c>
      <c r="H541" s="1389">
        <f t="shared" si="60"/>
        <v>0.99999732095279881</v>
      </c>
    </row>
    <row r="542" spans="1:8" ht="25.5">
      <c r="A542" s="21"/>
      <c r="B542" s="4543"/>
      <c r="C542" s="1706" t="s">
        <v>994</v>
      </c>
      <c r="D542" s="4559">
        <v>2460</v>
      </c>
      <c r="E542" s="1618">
        <v>0</v>
      </c>
      <c r="F542" s="1387">
        <v>354519</v>
      </c>
      <c r="G542" s="707">
        <v>354519</v>
      </c>
      <c r="H542" s="1389">
        <f t="shared" si="60"/>
        <v>1</v>
      </c>
    </row>
    <row r="543" spans="1:8" ht="25.5">
      <c r="A543" s="21"/>
      <c r="B543" s="4815"/>
      <c r="C543" s="1733" t="s">
        <v>47</v>
      </c>
      <c r="D543" s="4560"/>
      <c r="E543" s="1509">
        <v>0</v>
      </c>
      <c r="F543" s="1387">
        <v>112412</v>
      </c>
      <c r="G543" s="707">
        <v>112411.2</v>
      </c>
      <c r="H543" s="1389">
        <f t="shared" si="60"/>
        <v>0.99999288332206526</v>
      </c>
    </row>
    <row r="544" spans="1:8" ht="15.75" thickBot="1">
      <c r="A544" s="21"/>
      <c r="B544" s="4573" t="s">
        <v>26</v>
      </c>
      <c r="C544" s="4573"/>
      <c r="D544" s="741"/>
      <c r="E544" s="48">
        <v>0</v>
      </c>
      <c r="F544" s="48">
        <v>0</v>
      </c>
      <c r="G544" s="1634">
        <v>0</v>
      </c>
      <c r="H544" s="1635"/>
    </row>
    <row r="545" spans="1:8" ht="15.75" thickBot="1">
      <c r="A545" s="21"/>
      <c r="B545" s="1857">
        <v>90007</v>
      </c>
      <c r="C545" s="1858" t="s">
        <v>357</v>
      </c>
      <c r="D545" s="1859"/>
      <c r="E545" s="1851">
        <f>SUM(E546,E548)</f>
        <v>0</v>
      </c>
      <c r="F545" s="1851">
        <f>SUM(F546,F548)</f>
        <v>151900</v>
      </c>
      <c r="G545" s="1648">
        <f>SUM(G546,G548)</f>
        <v>151900</v>
      </c>
      <c r="H545" s="1503">
        <f t="shared" ref="H545:H546" si="72">G545/F545</f>
        <v>1</v>
      </c>
    </row>
    <row r="546" spans="1:8">
      <c r="A546" s="21"/>
      <c r="B546" s="4605" t="s">
        <v>21</v>
      </c>
      <c r="C546" s="4614"/>
      <c r="D546" s="1860"/>
      <c r="E546" s="1853">
        <f>SUM(E547:E547)</f>
        <v>0</v>
      </c>
      <c r="F546" s="1861">
        <f>SUM(F547:F547)</f>
        <v>151900</v>
      </c>
      <c r="G546" s="1862">
        <f>SUM(G547:G547)</f>
        <v>151900</v>
      </c>
      <c r="H546" s="1495">
        <f t="shared" si="72"/>
        <v>1</v>
      </c>
    </row>
    <row r="547" spans="1:8" ht="38.25">
      <c r="A547" s="21"/>
      <c r="B547" s="1863"/>
      <c r="C547" s="1864" t="s">
        <v>46</v>
      </c>
      <c r="D547" s="1865">
        <v>2210</v>
      </c>
      <c r="E547" s="1509">
        <v>0</v>
      </c>
      <c r="F547" s="1513">
        <v>151900</v>
      </c>
      <c r="G547" s="1630">
        <v>151900</v>
      </c>
      <c r="H547" s="1515">
        <f t="shared" ref="H547" si="73">G547/F547</f>
        <v>1</v>
      </c>
    </row>
    <row r="548" spans="1:8" ht="15.75" thickBot="1">
      <c r="A548" s="21"/>
      <c r="B548" s="4573" t="s">
        <v>26</v>
      </c>
      <c r="C548" s="4573"/>
      <c r="D548" s="741"/>
      <c r="E548" s="48">
        <v>0</v>
      </c>
      <c r="F548" s="48">
        <v>0</v>
      </c>
      <c r="G548" s="1634">
        <v>0</v>
      </c>
      <c r="H548" s="1635"/>
    </row>
    <row r="549" spans="1:8" ht="26.25" thickBot="1">
      <c r="A549" s="21"/>
      <c r="B549" s="748">
        <v>90019</v>
      </c>
      <c r="C549" s="749" t="s">
        <v>256</v>
      </c>
      <c r="D549" s="750"/>
      <c r="E549" s="63">
        <f>SUM(E550,E555)</f>
        <v>400000</v>
      </c>
      <c r="F549" s="63">
        <f>SUM(F550,F555)</f>
        <v>400000</v>
      </c>
      <c r="G549" s="751">
        <f>SUM(G550,G555)</f>
        <v>468941.89</v>
      </c>
      <c r="H549" s="752">
        <f t="shared" si="60"/>
        <v>1.1723547249999999</v>
      </c>
    </row>
    <row r="550" spans="1:8">
      <c r="A550" s="21"/>
      <c r="B550" s="4574" t="s">
        <v>21</v>
      </c>
      <c r="C550" s="4574"/>
      <c r="D550" s="1866"/>
      <c r="E550" s="1867">
        <f>SUM(E551:E554)</f>
        <v>400000</v>
      </c>
      <c r="F550" s="1867">
        <f>SUM(F551:F554)</f>
        <v>400000</v>
      </c>
      <c r="G550" s="1868">
        <f>SUM(G551:G554)</f>
        <v>468941.89</v>
      </c>
      <c r="H550" s="1495">
        <f t="shared" si="60"/>
        <v>1.1723547249999999</v>
      </c>
    </row>
    <row r="551" spans="1:8" ht="38.25">
      <c r="A551" s="21"/>
      <c r="B551" s="4575"/>
      <c r="C551" s="1844" t="s">
        <v>257</v>
      </c>
      <c r="D551" s="1869" t="s">
        <v>94</v>
      </c>
      <c r="E551" s="58">
        <v>0</v>
      </c>
      <c r="F551" s="58">
        <v>0</v>
      </c>
      <c r="G551" s="1845">
        <v>77.239999999999995</v>
      </c>
      <c r="H551" s="1511"/>
    </row>
    <row r="552" spans="1:8">
      <c r="A552" s="21"/>
      <c r="B552" s="4543"/>
      <c r="C552" s="1844" t="s">
        <v>258</v>
      </c>
      <c r="D552" s="4615" t="s">
        <v>38</v>
      </c>
      <c r="E552" s="1509">
        <v>0</v>
      </c>
      <c r="F552" s="1509">
        <v>0</v>
      </c>
      <c r="G552" s="1845">
        <v>205.1</v>
      </c>
      <c r="H552" s="1515"/>
    </row>
    <row r="553" spans="1:8">
      <c r="A553" s="21"/>
      <c r="B553" s="4543"/>
      <c r="C553" s="1864" t="s">
        <v>259</v>
      </c>
      <c r="D553" s="4616"/>
      <c r="E553" s="1386">
        <v>400000</v>
      </c>
      <c r="F553" s="1513">
        <v>400000</v>
      </c>
      <c r="G553" s="1630">
        <v>468659.55</v>
      </c>
      <c r="H553" s="1515">
        <f t="shared" si="60"/>
        <v>1.171648875</v>
      </c>
    </row>
    <row r="554" spans="1:8" ht="27.75" hidden="1" customHeight="1">
      <c r="A554" s="21"/>
      <c r="B554" s="1818"/>
      <c r="C554" s="1871"/>
      <c r="D554" s="4617"/>
      <c r="E554" s="52">
        <v>0</v>
      </c>
      <c r="F554" s="1872"/>
      <c r="G554" s="1873"/>
      <c r="H554" s="1620"/>
    </row>
    <row r="555" spans="1:8" s="1" customFormat="1" ht="15.75" thickBot="1">
      <c r="A555" s="23"/>
      <c r="B555" s="4576" t="s">
        <v>26</v>
      </c>
      <c r="C555" s="4551"/>
      <c r="D555" s="1874"/>
      <c r="E555" s="1438">
        <v>0</v>
      </c>
      <c r="F555" s="1438">
        <v>0</v>
      </c>
      <c r="G555" s="1634">
        <v>0</v>
      </c>
      <c r="H555" s="1635"/>
    </row>
    <row r="556" spans="1:8" s="1" customFormat="1" ht="26.25" thickBot="1">
      <c r="A556" s="1743"/>
      <c r="B556" s="1880">
        <v>90020</v>
      </c>
      <c r="C556" s="1881" t="s">
        <v>260</v>
      </c>
      <c r="D556" s="1882"/>
      <c r="E556" s="1851">
        <f>SUM(E558:E563)</f>
        <v>73400</v>
      </c>
      <c r="F556" s="1851">
        <f>SUM(F558:F563)</f>
        <v>73400</v>
      </c>
      <c r="G556" s="1648">
        <f>SUM(G558:G563)</f>
        <v>212453.59000000003</v>
      </c>
      <c r="H556" s="1503">
        <f t="shared" si="60"/>
        <v>2.894463079019074</v>
      </c>
    </row>
    <row r="557" spans="1:8" s="1" customFormat="1">
      <c r="A557" s="21"/>
      <c r="B557" s="4577" t="s">
        <v>21</v>
      </c>
      <c r="C557" s="4577"/>
      <c r="D557" s="1877"/>
      <c r="E557" s="1601">
        <f>SUM(E558:E563)</f>
        <v>73400</v>
      </c>
      <c r="F557" s="1601">
        <f>SUM(F558:F563)</f>
        <v>73400</v>
      </c>
      <c r="G557" s="755">
        <f>SUM(G558:G563)</f>
        <v>212453.59000000003</v>
      </c>
      <c r="H557" s="1495">
        <f t="shared" si="60"/>
        <v>2.894463079019074</v>
      </c>
    </row>
    <row r="558" spans="1:8">
      <c r="A558" s="21"/>
      <c r="B558" s="1883"/>
      <c r="C558" s="1884" t="s">
        <v>261</v>
      </c>
      <c r="D558" s="1702" t="s">
        <v>262</v>
      </c>
      <c r="E558" s="1386">
        <v>40000</v>
      </c>
      <c r="F558" s="1513">
        <v>40000</v>
      </c>
      <c r="G558" s="1630">
        <v>79662.47</v>
      </c>
      <c r="H558" s="1515">
        <f t="shared" si="60"/>
        <v>1.99156175</v>
      </c>
    </row>
    <row r="559" spans="1:8" ht="25.5">
      <c r="A559" s="21"/>
      <c r="B559" s="29"/>
      <c r="C559" s="1864" t="s">
        <v>263</v>
      </c>
      <c r="D559" s="1870" t="s">
        <v>264</v>
      </c>
      <c r="E559" s="1386">
        <v>32200</v>
      </c>
      <c r="F559" s="1513">
        <v>32200</v>
      </c>
      <c r="G559" s="1630">
        <v>97036.6</v>
      </c>
      <c r="H559" s="1515">
        <f t="shared" si="60"/>
        <v>3.0135590062111803</v>
      </c>
    </row>
    <row r="560" spans="1:8" ht="38.25">
      <c r="A560" s="21"/>
      <c r="B560" s="29"/>
      <c r="C560" s="1864" t="s">
        <v>265</v>
      </c>
      <c r="D560" s="1702" t="s">
        <v>266</v>
      </c>
      <c r="E560" s="1465">
        <v>1000</v>
      </c>
      <c r="F560" s="1615">
        <v>1000</v>
      </c>
      <c r="G560" s="1845">
        <v>2835.94</v>
      </c>
      <c r="H560" s="1616">
        <f t="shared" si="60"/>
        <v>2.8359399999999999</v>
      </c>
    </row>
    <row r="561" spans="1:8" ht="25.5">
      <c r="A561" s="21"/>
      <c r="B561" s="29"/>
      <c r="C561" s="1885" t="s">
        <v>307</v>
      </c>
      <c r="D561" s="757" t="s">
        <v>94</v>
      </c>
      <c r="E561" s="1465">
        <v>0</v>
      </c>
      <c r="F561" s="1615">
        <v>0</v>
      </c>
      <c r="G561" s="1845">
        <v>31195.85</v>
      </c>
      <c r="H561" s="1616"/>
    </row>
    <row r="562" spans="1:8" ht="38.25">
      <c r="A562" s="21"/>
      <c r="B562" s="29"/>
      <c r="C562" s="1886" t="s">
        <v>267</v>
      </c>
      <c r="D562" s="1887" t="s">
        <v>96</v>
      </c>
      <c r="E562" s="1386">
        <v>0</v>
      </c>
      <c r="F562" s="1513">
        <v>0</v>
      </c>
      <c r="G562" s="1630">
        <v>1088</v>
      </c>
      <c r="H562" s="1515"/>
    </row>
    <row r="563" spans="1:8">
      <c r="A563" s="21"/>
      <c r="B563" s="22"/>
      <c r="C563" s="1886" t="s">
        <v>268</v>
      </c>
      <c r="D563" s="1702" t="s">
        <v>25</v>
      </c>
      <c r="E563" s="1386">
        <v>200</v>
      </c>
      <c r="F563" s="1513">
        <v>200</v>
      </c>
      <c r="G563" s="1630">
        <v>634.73</v>
      </c>
      <c r="H563" s="1515">
        <f t="shared" si="60"/>
        <v>3.1736500000000003</v>
      </c>
    </row>
    <row r="564" spans="1:8" s="1" customFormat="1" ht="15.75" thickBot="1">
      <c r="A564" s="21"/>
      <c r="B564" s="4551" t="s">
        <v>26</v>
      </c>
      <c r="C564" s="4551"/>
      <c r="D564" s="1874"/>
      <c r="E564" s="1438">
        <v>0</v>
      </c>
      <c r="F564" s="1438">
        <v>0</v>
      </c>
      <c r="G564" s="1634">
        <v>0</v>
      </c>
      <c r="H564" s="1635"/>
    </row>
    <row r="565" spans="1:8" ht="26.25" thickBot="1">
      <c r="A565" s="21"/>
      <c r="B565" s="1888">
        <v>90024</v>
      </c>
      <c r="C565" s="1889" t="s">
        <v>269</v>
      </c>
      <c r="D565" s="1890"/>
      <c r="E565" s="59">
        <f>SUM(E570,E566)</f>
        <v>1300</v>
      </c>
      <c r="F565" s="59">
        <f>SUM(F570,F566)</f>
        <v>1300</v>
      </c>
      <c r="G565" s="203">
        <f>SUM(G570,G566)</f>
        <v>2301.83</v>
      </c>
      <c r="H565" s="1503">
        <f t="shared" si="60"/>
        <v>1.7706384615384614</v>
      </c>
    </row>
    <row r="566" spans="1:8">
      <c r="A566" s="21"/>
      <c r="B566" s="4605" t="s">
        <v>21</v>
      </c>
      <c r="C566" s="4614"/>
      <c r="D566" s="762"/>
      <c r="E566" s="1601">
        <f>SUM(E567:E569)</f>
        <v>1300</v>
      </c>
      <c r="F566" s="1601">
        <f>SUM(F567:F569)</f>
        <v>1300</v>
      </c>
      <c r="G566" s="755">
        <f>SUM(G567:G569)</f>
        <v>2301.83</v>
      </c>
      <c r="H566" s="1495">
        <f t="shared" si="60"/>
        <v>1.7706384615384614</v>
      </c>
    </row>
    <row r="567" spans="1:8" ht="23.25" customHeight="1">
      <c r="A567" s="21"/>
      <c r="B567" s="1891"/>
      <c r="C567" s="1892" t="s">
        <v>270</v>
      </c>
      <c r="D567" s="1702" t="s">
        <v>264</v>
      </c>
      <c r="E567" s="1386">
        <v>100</v>
      </c>
      <c r="F567" s="1513">
        <v>100</v>
      </c>
      <c r="G567" s="1630">
        <v>22.2</v>
      </c>
      <c r="H567" s="1515">
        <f t="shared" si="60"/>
        <v>0.222</v>
      </c>
    </row>
    <row r="568" spans="1:8">
      <c r="A568" s="21"/>
      <c r="B568" s="68"/>
      <c r="C568" s="4586" t="s">
        <v>270</v>
      </c>
      <c r="D568" s="763" t="s">
        <v>38</v>
      </c>
      <c r="E568" s="1465">
        <v>1000</v>
      </c>
      <c r="F568" s="1615">
        <v>1000</v>
      </c>
      <c r="G568" s="1845">
        <v>1747.32</v>
      </c>
      <c r="H568" s="1616">
        <f t="shared" si="60"/>
        <v>1.74732</v>
      </c>
    </row>
    <row r="569" spans="1:8" ht="10.5" customHeight="1">
      <c r="A569" s="21"/>
      <c r="B569" s="1893"/>
      <c r="C569" s="4587"/>
      <c r="D569" s="1887" t="s">
        <v>25</v>
      </c>
      <c r="E569" s="1386">
        <v>200</v>
      </c>
      <c r="F569" s="1513">
        <v>200</v>
      </c>
      <c r="G569" s="1630">
        <v>532.30999999999995</v>
      </c>
      <c r="H569" s="1515">
        <f t="shared" si="60"/>
        <v>2.6615499999999996</v>
      </c>
    </row>
    <row r="570" spans="1:8" s="1" customFormat="1" ht="15.75" thickBot="1">
      <c r="A570" s="21"/>
      <c r="B570" s="4551" t="s">
        <v>26</v>
      </c>
      <c r="C570" s="4551"/>
      <c r="D570" s="1874"/>
      <c r="E570" s="48">
        <v>0</v>
      </c>
      <c r="F570" s="48">
        <v>0</v>
      </c>
      <c r="G570" s="1875">
        <v>0</v>
      </c>
      <c r="H570" s="1876"/>
    </row>
    <row r="571" spans="1:8" ht="15.75" thickBot="1">
      <c r="A571" s="21"/>
      <c r="B571" s="1894">
        <v>90026</v>
      </c>
      <c r="C571" s="1889" t="s">
        <v>271</v>
      </c>
      <c r="D571" s="1890"/>
      <c r="E571" s="1851">
        <f>E572+E576</f>
        <v>100000</v>
      </c>
      <c r="F571" s="1851">
        <f>F572+F576</f>
        <v>100000</v>
      </c>
      <c r="G571" s="1648">
        <f>G572+G576</f>
        <v>316141.8</v>
      </c>
      <c r="H571" s="1503">
        <f t="shared" si="60"/>
        <v>3.1614179999999998</v>
      </c>
    </row>
    <row r="572" spans="1:8">
      <c r="A572" s="21"/>
      <c r="B572" s="4574" t="s">
        <v>21</v>
      </c>
      <c r="C572" s="4574"/>
      <c r="D572" s="1866"/>
      <c r="E572" s="1601">
        <f>SUM(E573:E575)</f>
        <v>100000</v>
      </c>
      <c r="F572" s="1601">
        <f>SUM(F573:F575)</f>
        <v>100000</v>
      </c>
      <c r="G572" s="1895">
        <f>SUM(G573:G575)</f>
        <v>316141.8</v>
      </c>
      <c r="H572" s="1495">
        <f t="shared" si="60"/>
        <v>3.1614179999999998</v>
      </c>
    </row>
    <row r="573" spans="1:8" ht="38.25">
      <c r="A573" s="21"/>
      <c r="B573" s="4618"/>
      <c r="C573" s="1896" t="s">
        <v>267</v>
      </c>
      <c r="D573" s="763" t="s">
        <v>96</v>
      </c>
      <c r="E573" s="1386">
        <v>0</v>
      </c>
      <c r="F573" s="1513">
        <v>0</v>
      </c>
      <c r="G573" s="1630">
        <v>68</v>
      </c>
      <c r="H573" s="1515"/>
    </row>
    <row r="574" spans="1:8" ht="38.25">
      <c r="A574" s="21"/>
      <c r="B574" s="4619"/>
      <c r="C574" s="1896" t="s">
        <v>272</v>
      </c>
      <c r="D574" s="1887" t="s">
        <v>38</v>
      </c>
      <c r="E574" s="1386">
        <v>100000</v>
      </c>
      <c r="F574" s="1513">
        <v>100000</v>
      </c>
      <c r="G574" s="1630">
        <v>315573.8</v>
      </c>
      <c r="H574" s="1515">
        <f t="shared" si="60"/>
        <v>3.1557379999999999</v>
      </c>
    </row>
    <row r="575" spans="1:8" ht="38.25">
      <c r="A575" s="21"/>
      <c r="B575" s="4620"/>
      <c r="C575" s="1892" t="s">
        <v>59</v>
      </c>
      <c r="D575" s="1869" t="s">
        <v>91</v>
      </c>
      <c r="E575" s="52">
        <v>0</v>
      </c>
      <c r="F575" s="199">
        <v>0</v>
      </c>
      <c r="G575" s="1897">
        <v>500</v>
      </c>
      <c r="H575" s="1898"/>
    </row>
    <row r="576" spans="1:8" ht="15.75" thickBot="1">
      <c r="A576" s="23"/>
      <c r="B576" s="4551" t="s">
        <v>26</v>
      </c>
      <c r="C576" s="4551"/>
      <c r="D576" s="1874"/>
      <c r="E576" s="1438">
        <v>0</v>
      </c>
      <c r="F576" s="1438">
        <v>0</v>
      </c>
      <c r="G576" s="1634">
        <v>0</v>
      </c>
      <c r="H576" s="1635"/>
    </row>
    <row r="577" spans="1:8" ht="15.75" thickBot="1">
      <c r="A577" s="4588"/>
      <c r="B577" s="1894">
        <v>90095</v>
      </c>
      <c r="C577" s="1889" t="s">
        <v>44</v>
      </c>
      <c r="D577" s="1890"/>
      <c r="E577" s="1851">
        <f>E578</f>
        <v>0</v>
      </c>
      <c r="F577" s="1851">
        <f t="shared" ref="F577:G577" si="74">F578</f>
        <v>0</v>
      </c>
      <c r="G577" s="1648">
        <f t="shared" si="74"/>
        <v>854.7</v>
      </c>
      <c r="H577" s="1503"/>
    </row>
    <row r="578" spans="1:8">
      <c r="A578" s="4589"/>
      <c r="B578" s="4574" t="s">
        <v>21</v>
      </c>
      <c r="C578" s="4574"/>
      <c r="D578" s="1866"/>
      <c r="E578" s="1434">
        <f>E579</f>
        <v>0</v>
      </c>
      <c r="F578" s="1434">
        <f>F579</f>
        <v>0</v>
      </c>
      <c r="G578" s="1485">
        <f>G579</f>
        <v>854.7</v>
      </c>
      <c r="H578" s="1876"/>
    </row>
    <row r="579" spans="1:8">
      <c r="A579" s="4589"/>
      <c r="B579" s="1899"/>
      <c r="C579" s="1892" t="s">
        <v>1117</v>
      </c>
      <c r="D579" s="1887" t="s">
        <v>38</v>
      </c>
      <c r="E579" s="1509">
        <v>0</v>
      </c>
      <c r="F579" s="1615">
        <v>0</v>
      </c>
      <c r="G579" s="1845">
        <v>854.7</v>
      </c>
      <c r="H579" s="1511"/>
    </row>
    <row r="580" spans="1:8" ht="15.75" thickBot="1">
      <c r="A580" s="4590"/>
      <c r="B580" s="4551" t="s">
        <v>26</v>
      </c>
      <c r="C580" s="4551"/>
      <c r="D580" s="1874"/>
      <c r="E580" s="48">
        <v>0</v>
      </c>
      <c r="F580" s="48">
        <v>0</v>
      </c>
      <c r="G580" s="1634">
        <v>0</v>
      </c>
      <c r="H580" s="1635"/>
    </row>
    <row r="581" spans="1:8" ht="15.75" thickBot="1">
      <c r="A581" s="1900">
        <v>921</v>
      </c>
      <c r="B581" s="1901"/>
      <c r="C581" s="1902" t="s">
        <v>273</v>
      </c>
      <c r="D581" s="1903"/>
      <c r="E581" s="1904">
        <f>SUM(E582,E586,E596,E614,E623,E591,E608,E629)</f>
        <v>4685722</v>
      </c>
      <c r="F581" s="1904">
        <f>SUM(F582,F586,F596,F614,F623,F591,F608,F629)</f>
        <v>2016932</v>
      </c>
      <c r="G581" s="1905">
        <f>SUM(G582,G586,G596,G614,G623,G591,G608,G629)</f>
        <v>5090625.6400000006</v>
      </c>
      <c r="H581" s="1906">
        <f t="shared" ref="H581:H630" si="75">G581/F581</f>
        <v>2.5239451007768237</v>
      </c>
    </row>
    <row r="582" spans="1:8" ht="15.75" thickBot="1">
      <c r="A582" s="898"/>
      <c r="B582" s="1888">
        <v>92105</v>
      </c>
      <c r="C582" s="1889" t="s">
        <v>274</v>
      </c>
      <c r="D582" s="1890"/>
      <c r="E582" s="1377">
        <f>SUM(E583,E585)</f>
        <v>0</v>
      </c>
      <c r="F582" s="1377">
        <f>SUM(F583,F585)</f>
        <v>0</v>
      </c>
      <c r="G582" s="1908">
        <f>SUM(G583,G585)</f>
        <v>828</v>
      </c>
      <c r="H582" s="1503"/>
    </row>
    <row r="583" spans="1:8">
      <c r="A583" s="898"/>
      <c r="B583" s="4605" t="s">
        <v>21</v>
      </c>
      <c r="C583" s="4614"/>
      <c r="D583" s="1909"/>
      <c r="E583" s="1910">
        <f>SUM(E584:E584)</f>
        <v>0</v>
      </c>
      <c r="F583" s="1910">
        <f>SUM(F584:F584)</f>
        <v>0</v>
      </c>
      <c r="G583" s="1911">
        <f>SUM(G584:G584)</f>
        <v>828</v>
      </c>
      <c r="H583" s="1495"/>
    </row>
    <row r="584" spans="1:8" ht="44.25" customHeight="1">
      <c r="A584" s="898"/>
      <c r="B584" s="1912"/>
      <c r="C584" s="1913" t="s">
        <v>275</v>
      </c>
      <c r="D584" s="1887" t="s">
        <v>69</v>
      </c>
      <c r="E584" s="1509">
        <v>0</v>
      </c>
      <c r="F584" s="1513">
        <v>0</v>
      </c>
      <c r="G584" s="1630">
        <v>828</v>
      </c>
      <c r="H584" s="1511"/>
    </row>
    <row r="585" spans="1:8" ht="15.75" thickBot="1">
      <c r="A585" s="898"/>
      <c r="B585" s="4576" t="s">
        <v>26</v>
      </c>
      <c r="C585" s="4551"/>
      <c r="D585" s="1874"/>
      <c r="E585" s="1438">
        <v>0</v>
      </c>
      <c r="F585" s="48">
        <v>0</v>
      </c>
      <c r="G585" s="1634">
        <v>0</v>
      </c>
      <c r="H585" s="1635"/>
    </row>
    <row r="586" spans="1:8" ht="15.75" thickBot="1">
      <c r="A586" s="898"/>
      <c r="B586" s="748">
        <v>92106</v>
      </c>
      <c r="C586" s="749" t="s">
        <v>276</v>
      </c>
      <c r="D586" s="750"/>
      <c r="E586" s="69">
        <f>SUM(E587,E590)</f>
        <v>0</v>
      </c>
      <c r="F586" s="69">
        <f>SUM(F587,F590)</f>
        <v>0</v>
      </c>
      <c r="G586" s="903">
        <f>SUM(G587,G590)</f>
        <v>19750.48</v>
      </c>
      <c r="H586" s="752"/>
    </row>
    <row r="587" spans="1:8">
      <c r="A587" s="898"/>
      <c r="B587" s="4605" t="s">
        <v>21</v>
      </c>
      <c r="C587" s="4614"/>
      <c r="D587" s="1860"/>
      <c r="E587" s="1910">
        <f>SUM(E588:E589)</f>
        <v>0</v>
      </c>
      <c r="F587" s="1910">
        <f>SUM(F588:F589)</f>
        <v>0</v>
      </c>
      <c r="G587" s="1911">
        <f>SUM(G588:G589)</f>
        <v>19750.48</v>
      </c>
      <c r="H587" s="1495"/>
    </row>
    <row r="588" spans="1:8" ht="38.25">
      <c r="A588" s="898"/>
      <c r="B588" s="4592"/>
      <c r="C588" s="1914" t="s">
        <v>275</v>
      </c>
      <c r="D588" s="1887" t="s">
        <v>69</v>
      </c>
      <c r="E588" s="1509">
        <v>0</v>
      </c>
      <c r="F588" s="1513">
        <v>0</v>
      </c>
      <c r="G588" s="1630">
        <v>18.97</v>
      </c>
      <c r="H588" s="1511"/>
    </row>
    <row r="589" spans="1:8" ht="38.25">
      <c r="A589" s="898"/>
      <c r="B589" s="4593"/>
      <c r="C589" s="1915" t="s">
        <v>1033</v>
      </c>
      <c r="D589" s="1869" t="s">
        <v>42</v>
      </c>
      <c r="E589" s="1509">
        <v>0</v>
      </c>
      <c r="F589" s="1513">
        <v>0</v>
      </c>
      <c r="G589" s="1630">
        <v>19731.509999999998</v>
      </c>
      <c r="H589" s="1511"/>
    </row>
    <row r="590" spans="1:8" ht="15.75" thickBot="1">
      <c r="A590" s="898"/>
      <c r="B590" s="4594" t="s">
        <v>26</v>
      </c>
      <c r="C590" s="4595"/>
      <c r="D590" s="1916"/>
      <c r="E590" s="1393">
        <v>0</v>
      </c>
      <c r="F590" s="1393">
        <v>0</v>
      </c>
      <c r="G590" s="1917">
        <v>0</v>
      </c>
      <c r="H590" s="1918"/>
    </row>
    <row r="591" spans="1:8" ht="15.75" thickBot="1">
      <c r="A591" s="898"/>
      <c r="B591" s="1888">
        <v>92108</v>
      </c>
      <c r="C591" s="1889" t="s">
        <v>278</v>
      </c>
      <c r="D591" s="1890"/>
      <c r="E591" s="59">
        <f>SUM(E592,E594)</f>
        <v>0</v>
      </c>
      <c r="F591" s="59">
        <f>SUM(F592,F594)</f>
        <v>50000</v>
      </c>
      <c r="G591" s="203">
        <f>SUM(G592,G594)</f>
        <v>50084.82</v>
      </c>
      <c r="H591" s="1503">
        <f t="shared" si="75"/>
        <v>1.0016963999999999</v>
      </c>
    </row>
    <row r="592" spans="1:8">
      <c r="A592" s="898"/>
      <c r="B592" s="4605" t="s">
        <v>21</v>
      </c>
      <c r="C592" s="4614"/>
      <c r="D592" s="1860"/>
      <c r="E592" s="1601">
        <f>SUM(E593:E593)</f>
        <v>0</v>
      </c>
      <c r="F592" s="1601">
        <f>SUM(F593:F593)</f>
        <v>50000</v>
      </c>
      <c r="G592" s="755">
        <f>SUM(G593:G593)</f>
        <v>50000</v>
      </c>
      <c r="H592" s="1495">
        <f t="shared" si="75"/>
        <v>1</v>
      </c>
    </row>
    <row r="593" spans="1:8" ht="40.5" customHeight="1">
      <c r="A593" s="898"/>
      <c r="B593" s="904"/>
      <c r="C593" s="1919" t="s">
        <v>277</v>
      </c>
      <c r="D593" s="1869" t="s">
        <v>78</v>
      </c>
      <c r="E593" s="1386">
        <v>0</v>
      </c>
      <c r="F593" s="1513">
        <v>50000</v>
      </c>
      <c r="G593" s="1619">
        <v>50000</v>
      </c>
      <c r="H593" s="1515">
        <f t="shared" si="75"/>
        <v>1</v>
      </c>
    </row>
    <row r="594" spans="1:8">
      <c r="A594" s="898"/>
      <c r="B594" s="4594" t="s">
        <v>67</v>
      </c>
      <c r="C594" s="4595"/>
      <c r="D594" s="1916"/>
      <c r="E594" s="1393">
        <f>SUM(E595:E595)</f>
        <v>0</v>
      </c>
      <c r="F594" s="55">
        <f>SUM(F595:F595)</f>
        <v>0</v>
      </c>
      <c r="G594" s="908">
        <f>SUM(G595:G595)</f>
        <v>84.82</v>
      </c>
      <c r="H594" s="1918"/>
    </row>
    <row r="595" spans="1:8" ht="15.75" thickBot="1">
      <c r="A595" s="898"/>
      <c r="B595" s="892"/>
      <c r="C595" s="1920" t="s">
        <v>1034</v>
      </c>
      <c r="D595" s="909">
        <v>6690</v>
      </c>
      <c r="E595" s="52">
        <v>0</v>
      </c>
      <c r="F595" s="1921">
        <v>0</v>
      </c>
      <c r="G595" s="1897">
        <v>84.82</v>
      </c>
      <c r="H595" s="1922"/>
    </row>
    <row r="596" spans="1:8" ht="15.75" thickBot="1">
      <c r="A596" s="898"/>
      <c r="B596" s="1894">
        <v>92109</v>
      </c>
      <c r="C596" s="1889" t="s">
        <v>280</v>
      </c>
      <c r="D596" s="1890"/>
      <c r="E596" s="1923">
        <f>SUM(E597,E604)</f>
        <v>0</v>
      </c>
      <c r="F596" s="1923">
        <f>SUM(F597,F604)</f>
        <v>0</v>
      </c>
      <c r="G596" s="1924">
        <f>SUM(G597,G604)</f>
        <v>3206054.52</v>
      </c>
      <c r="H596" s="1503"/>
    </row>
    <row r="597" spans="1:8">
      <c r="A597" s="898"/>
      <c r="B597" s="4613" t="s">
        <v>21</v>
      </c>
      <c r="C597" s="4574"/>
      <c r="D597" s="1866"/>
      <c r="E597" s="1925">
        <f>SUM(E598:E603)</f>
        <v>0</v>
      </c>
      <c r="F597" s="1925">
        <f>SUM(F598:F603)</f>
        <v>0</v>
      </c>
      <c r="G597" s="1926">
        <f>SUM(G598:G603)</f>
        <v>1309984.25</v>
      </c>
      <c r="H597" s="1495"/>
    </row>
    <row r="598" spans="1:8" ht="39" thickBot="1">
      <c r="A598" s="1927"/>
      <c r="B598" s="1928"/>
      <c r="C598" s="1929" t="s">
        <v>275</v>
      </c>
      <c r="D598" s="1930" t="s">
        <v>69</v>
      </c>
      <c r="E598" s="1659">
        <v>0</v>
      </c>
      <c r="F598" s="1526">
        <v>0</v>
      </c>
      <c r="G598" s="1879">
        <v>149</v>
      </c>
      <c r="H598" s="1931"/>
    </row>
    <row r="599" spans="1:8">
      <c r="A599" s="1932"/>
      <c r="B599" s="1933"/>
      <c r="C599" s="4600" t="s">
        <v>1023</v>
      </c>
      <c r="D599" s="1934" t="s">
        <v>41</v>
      </c>
      <c r="E599" s="1935">
        <v>0</v>
      </c>
      <c r="F599" s="1624">
        <v>0</v>
      </c>
      <c r="G599" s="1936">
        <v>4780.1099999999997</v>
      </c>
      <c r="H599" s="1937"/>
    </row>
    <row r="600" spans="1:8">
      <c r="A600" s="898"/>
      <c r="B600" s="1907"/>
      <c r="C600" s="4601"/>
      <c r="D600" s="1869" t="s">
        <v>32</v>
      </c>
      <c r="E600" s="704">
        <v>0</v>
      </c>
      <c r="F600" s="1513">
        <v>0</v>
      </c>
      <c r="G600" s="1630">
        <v>518124.43</v>
      </c>
      <c r="H600" s="1511"/>
    </row>
    <row r="601" spans="1:8" ht="25.5">
      <c r="A601" s="898"/>
      <c r="B601" s="1907"/>
      <c r="C601" s="1938" t="s">
        <v>1026</v>
      </c>
      <c r="D601" s="1869" t="s">
        <v>25</v>
      </c>
      <c r="E601" s="704">
        <v>0</v>
      </c>
      <c r="F601" s="1513">
        <v>0</v>
      </c>
      <c r="G601" s="1630">
        <v>2000</v>
      </c>
      <c r="H601" s="1511"/>
    </row>
    <row r="602" spans="1:8" ht="38.25">
      <c r="A602" s="898"/>
      <c r="B602" s="1907"/>
      <c r="C602" s="1938" t="s">
        <v>1033</v>
      </c>
      <c r="D602" s="1869" t="s">
        <v>42</v>
      </c>
      <c r="E602" s="704">
        <v>0</v>
      </c>
      <c r="F602" s="1513">
        <v>0</v>
      </c>
      <c r="G602" s="1630">
        <v>123555.28</v>
      </c>
      <c r="H602" s="1511"/>
    </row>
    <row r="603" spans="1:8">
      <c r="A603" s="898"/>
      <c r="B603" s="1939"/>
      <c r="C603" s="1938" t="s">
        <v>1034</v>
      </c>
      <c r="D603" s="1940">
        <v>2950</v>
      </c>
      <c r="E603" s="1941">
        <v>0</v>
      </c>
      <c r="F603" s="1513">
        <v>0</v>
      </c>
      <c r="G603" s="1630">
        <v>661375.43000000005</v>
      </c>
      <c r="H603" s="1511"/>
    </row>
    <row r="604" spans="1:8">
      <c r="A604" s="898"/>
      <c r="B604" s="4594" t="s">
        <v>67</v>
      </c>
      <c r="C604" s="4604"/>
      <c r="D604" s="1942"/>
      <c r="E604" s="1943">
        <f>SUM(E605:E607)</f>
        <v>0</v>
      </c>
      <c r="F604" s="1943">
        <f t="shared" ref="F604:G604" si="76">SUM(F605:F607)</f>
        <v>0</v>
      </c>
      <c r="G604" s="1944">
        <f t="shared" si="76"/>
        <v>1896070.27</v>
      </c>
      <c r="H604" s="1918"/>
    </row>
    <row r="605" spans="1:8" ht="38.25">
      <c r="A605" s="898"/>
      <c r="B605" s="1945"/>
      <c r="C605" s="917" t="s">
        <v>1036</v>
      </c>
      <c r="D605" s="1940">
        <v>6660</v>
      </c>
      <c r="E605" s="1946">
        <v>0</v>
      </c>
      <c r="F605" s="1513">
        <v>0</v>
      </c>
      <c r="G605" s="1630">
        <v>26642.16</v>
      </c>
      <c r="H605" s="1511"/>
    </row>
    <row r="606" spans="1:8">
      <c r="A606" s="898"/>
      <c r="B606" s="910"/>
      <c r="C606" s="4602" t="s">
        <v>1035</v>
      </c>
      <c r="D606" s="1940">
        <v>6690</v>
      </c>
      <c r="E606" s="1946">
        <v>0</v>
      </c>
      <c r="F606" s="1513">
        <v>0</v>
      </c>
      <c r="G606" s="1630">
        <v>191366.65</v>
      </c>
      <c r="H606" s="1511"/>
    </row>
    <row r="607" spans="1:8" ht="15.75" thickBot="1">
      <c r="A607" s="898"/>
      <c r="B607" s="911"/>
      <c r="C607" s="4603"/>
      <c r="D607" s="912" t="s">
        <v>212</v>
      </c>
      <c r="E607" s="60">
        <v>0</v>
      </c>
      <c r="F607" s="1513">
        <v>0</v>
      </c>
      <c r="G607" s="1630">
        <v>1678061.46</v>
      </c>
      <c r="H607" s="1511"/>
    </row>
    <row r="608" spans="1:8" ht="15.75" thickBot="1">
      <c r="A608" s="898"/>
      <c r="B608" s="1888">
        <v>92116</v>
      </c>
      <c r="C608" s="1889" t="s">
        <v>282</v>
      </c>
      <c r="D608" s="1890"/>
      <c r="E608" s="59">
        <f>SUM(E609,E613)</f>
        <v>4613222</v>
      </c>
      <c r="F608" s="59">
        <f>SUM(F609,F613)</f>
        <v>920832</v>
      </c>
      <c r="G608" s="1648">
        <f>SUM(G609,G613)</f>
        <v>930123.15</v>
      </c>
      <c r="H608" s="1503">
        <f t="shared" si="75"/>
        <v>1.0100899512614678</v>
      </c>
    </row>
    <row r="609" spans="1:8">
      <c r="A609" s="898"/>
      <c r="B609" s="4605" t="s">
        <v>21</v>
      </c>
      <c r="C609" s="4606"/>
      <c r="D609" s="1909"/>
      <c r="E609" s="1601">
        <f>SUM(E610:E612)</f>
        <v>4613222</v>
      </c>
      <c r="F609" s="1601">
        <f>SUM(F610:F612)</f>
        <v>920832</v>
      </c>
      <c r="G609" s="1895">
        <f>SUM(G610:G612)</f>
        <v>930123.15</v>
      </c>
      <c r="H609" s="913">
        <f t="shared" si="75"/>
        <v>1.0100899512614678</v>
      </c>
    </row>
    <row r="610" spans="1:8" ht="38.25">
      <c r="A610" s="898"/>
      <c r="B610" s="914"/>
      <c r="C610" s="1919" t="s">
        <v>283</v>
      </c>
      <c r="D610" s="1947">
        <v>2310</v>
      </c>
      <c r="E610" s="1948">
        <v>4528222</v>
      </c>
      <c r="F610" s="1513">
        <v>835832</v>
      </c>
      <c r="G610" s="1630">
        <v>835832</v>
      </c>
      <c r="H610" s="1949">
        <f t="shared" si="75"/>
        <v>1</v>
      </c>
    </row>
    <row r="611" spans="1:8" ht="38.25">
      <c r="A611" s="898"/>
      <c r="B611" s="914"/>
      <c r="C611" s="1919" t="s">
        <v>284</v>
      </c>
      <c r="D611" s="1950">
        <v>2320</v>
      </c>
      <c r="E611" s="1948">
        <v>85000</v>
      </c>
      <c r="F611" s="1513">
        <v>85000</v>
      </c>
      <c r="G611" s="1630">
        <v>85000</v>
      </c>
      <c r="H611" s="1949">
        <f t="shared" si="75"/>
        <v>1</v>
      </c>
    </row>
    <row r="612" spans="1:8">
      <c r="A612" s="898"/>
      <c r="B612" s="1641"/>
      <c r="C612" s="1951" t="s">
        <v>1037</v>
      </c>
      <c r="D612" s="1952">
        <v>2950</v>
      </c>
      <c r="E612" s="217">
        <v>0</v>
      </c>
      <c r="F612" s="1615">
        <v>0</v>
      </c>
      <c r="G612" s="1845">
        <v>9291.15</v>
      </c>
      <c r="H612" s="1953"/>
    </row>
    <row r="613" spans="1:8" ht="15.75" thickBot="1">
      <c r="A613" s="898"/>
      <c r="B613" s="4607" t="s">
        <v>26</v>
      </c>
      <c r="C613" s="4608"/>
      <c r="D613" s="1916"/>
      <c r="E613" s="1393">
        <v>0</v>
      </c>
      <c r="F613" s="1393">
        <v>0</v>
      </c>
      <c r="G613" s="1917">
        <v>0</v>
      </c>
      <c r="H613" s="1918"/>
    </row>
    <row r="614" spans="1:8" ht="15.75" thickBot="1">
      <c r="A614" s="898"/>
      <c r="B614" s="1894">
        <v>92118</v>
      </c>
      <c r="C614" s="1889" t="s">
        <v>285</v>
      </c>
      <c r="D614" s="1890"/>
      <c r="E614" s="1923">
        <f>SUM(E615,E620)</f>
        <v>0</v>
      </c>
      <c r="F614" s="1923">
        <f t="shared" ref="F614:G614" si="77">SUM(F615,F620)</f>
        <v>0</v>
      </c>
      <c r="G614" s="1924">
        <f t="shared" si="77"/>
        <v>730403.02</v>
      </c>
      <c r="H614" s="1503"/>
    </row>
    <row r="615" spans="1:8">
      <c r="A615" s="898"/>
      <c r="B615" s="4605" t="s">
        <v>21</v>
      </c>
      <c r="C615" s="4609"/>
      <c r="D615" s="1909"/>
      <c r="E615" s="1954">
        <f>SUM(E616:E619)</f>
        <v>0</v>
      </c>
      <c r="F615" s="1954">
        <f t="shared" ref="F615:G615" si="78">SUM(F616:F619)</f>
        <v>0</v>
      </c>
      <c r="G615" s="915">
        <f t="shared" si="78"/>
        <v>188350.58</v>
      </c>
      <c r="H615" s="1955"/>
    </row>
    <row r="616" spans="1:8" ht="40.5" customHeight="1">
      <c r="A616" s="898"/>
      <c r="B616" s="4610"/>
      <c r="C616" s="1956" t="s">
        <v>275</v>
      </c>
      <c r="D616" s="1869" t="s">
        <v>69</v>
      </c>
      <c r="E616" s="1386">
        <v>0</v>
      </c>
      <c r="F616" s="1513">
        <v>0</v>
      </c>
      <c r="G616" s="1630">
        <v>2135.38</v>
      </c>
      <c r="H616" s="1511"/>
    </row>
    <row r="617" spans="1:8" ht="25.5">
      <c r="A617" s="898"/>
      <c r="B617" s="4611"/>
      <c r="C617" s="917" t="s">
        <v>1025</v>
      </c>
      <c r="D617" s="1869" t="s">
        <v>32</v>
      </c>
      <c r="E617" s="704">
        <v>0</v>
      </c>
      <c r="F617" s="1513">
        <v>0</v>
      </c>
      <c r="G617" s="1630">
        <v>11673.14</v>
      </c>
      <c r="H617" s="1511"/>
    </row>
    <row r="618" spans="1:8" ht="37.5" customHeight="1">
      <c r="A618" s="898"/>
      <c r="B618" s="4611"/>
      <c r="C618" s="917" t="s">
        <v>1033</v>
      </c>
      <c r="D618" s="1702" t="s">
        <v>42</v>
      </c>
      <c r="E618" s="1941">
        <v>0</v>
      </c>
      <c r="F618" s="1513">
        <v>0</v>
      </c>
      <c r="G618" s="1630">
        <v>6000</v>
      </c>
      <c r="H618" s="1511"/>
    </row>
    <row r="619" spans="1:8" ht="15.75" thickBot="1">
      <c r="A619" s="1927"/>
      <c r="B619" s="4612"/>
      <c r="C619" s="1957" t="s">
        <v>1035</v>
      </c>
      <c r="D619" s="1878" t="s">
        <v>79</v>
      </c>
      <c r="E619" s="1958">
        <v>0</v>
      </c>
      <c r="F619" s="1526">
        <v>0</v>
      </c>
      <c r="G619" s="1879">
        <v>168542.06</v>
      </c>
      <c r="H619" s="1931"/>
    </row>
    <row r="620" spans="1:8">
      <c r="A620" s="898"/>
      <c r="B620" s="4613" t="s">
        <v>67</v>
      </c>
      <c r="C620" s="4574"/>
      <c r="D620" s="1866"/>
      <c r="E620" s="1925">
        <f>SUM(E621:E622)</f>
        <v>0</v>
      </c>
      <c r="F620" s="1925">
        <f t="shared" ref="F620" si="79">SUM(F621:F622)</f>
        <v>0</v>
      </c>
      <c r="G620" s="1926">
        <f>SUM(G621:G622)</f>
        <v>542052.44000000006</v>
      </c>
      <c r="H620" s="1495"/>
    </row>
    <row r="621" spans="1:8" ht="40.5" customHeight="1">
      <c r="A621" s="898"/>
      <c r="B621" s="4621"/>
      <c r="C621" s="919" t="s">
        <v>279</v>
      </c>
      <c r="D621" s="756" t="s">
        <v>286</v>
      </c>
      <c r="E621" s="49">
        <v>0</v>
      </c>
      <c r="F621" s="745">
        <v>0</v>
      </c>
      <c r="G621" s="746">
        <v>3455.29</v>
      </c>
      <c r="H621" s="754"/>
    </row>
    <row r="622" spans="1:8" ht="15.75" thickBot="1">
      <c r="A622" s="898"/>
      <c r="B622" s="4611"/>
      <c r="C622" s="920" t="s">
        <v>1034</v>
      </c>
      <c r="D622" s="757" t="s">
        <v>281</v>
      </c>
      <c r="E622" s="52">
        <v>0</v>
      </c>
      <c r="F622" s="745">
        <v>0</v>
      </c>
      <c r="G622" s="765">
        <v>538597.15</v>
      </c>
      <c r="H622" s="921"/>
    </row>
    <row r="623" spans="1:8" ht="15.75" thickBot="1">
      <c r="A623" s="898"/>
      <c r="B623" s="759">
        <v>92120</v>
      </c>
      <c r="C623" s="760" t="s">
        <v>287</v>
      </c>
      <c r="D623" s="761"/>
      <c r="E623" s="56">
        <f>SUM(E624,E627)</f>
        <v>0</v>
      </c>
      <c r="F623" s="56">
        <f>SUM(F624,F627)</f>
        <v>973600</v>
      </c>
      <c r="G623" s="899">
        <f>SUM(G624,G627)</f>
        <v>44600</v>
      </c>
      <c r="H623" s="743">
        <f t="shared" si="75"/>
        <v>4.5809367296631057E-2</v>
      </c>
    </row>
    <row r="624" spans="1:8">
      <c r="A624" s="898"/>
      <c r="B624" s="4598" t="s">
        <v>21</v>
      </c>
      <c r="C624" s="4622"/>
      <c r="D624" s="900"/>
      <c r="E624" s="57">
        <f>SUM(E625:E626)</f>
        <v>0</v>
      </c>
      <c r="F624" s="57">
        <f>SUM(F625:F626)</f>
        <v>13600</v>
      </c>
      <c r="G624" s="901">
        <f>SUM(G625:G626)</f>
        <v>44600</v>
      </c>
      <c r="H624" s="922">
        <f t="shared" si="75"/>
        <v>3.2794117647058822</v>
      </c>
    </row>
    <row r="625" spans="1:8" ht="38.25">
      <c r="A625" s="898"/>
      <c r="B625" s="4593"/>
      <c r="C625" s="923" t="s">
        <v>277</v>
      </c>
      <c r="D625" s="924" t="s">
        <v>78</v>
      </c>
      <c r="E625" s="195">
        <v>0</v>
      </c>
      <c r="F625" s="905">
        <v>13600</v>
      </c>
      <c r="G625" s="807">
        <v>13600</v>
      </c>
      <c r="H625" s="747">
        <f t="shared" si="75"/>
        <v>1</v>
      </c>
    </row>
    <row r="626" spans="1:8" ht="38.25">
      <c r="A626" s="898"/>
      <c r="B626" s="4593"/>
      <c r="C626" s="916" t="s">
        <v>1033</v>
      </c>
      <c r="D626" s="758" t="s">
        <v>42</v>
      </c>
      <c r="E626" s="58">
        <v>0</v>
      </c>
      <c r="F626" s="745">
        <v>0</v>
      </c>
      <c r="G626" s="746">
        <v>31000</v>
      </c>
      <c r="H626" s="747"/>
    </row>
    <row r="627" spans="1:8">
      <c r="A627" s="898"/>
      <c r="B627" s="4596" t="s">
        <v>67</v>
      </c>
      <c r="C627" s="4597"/>
      <c r="D627" s="907"/>
      <c r="E627" s="198">
        <f>SUM(E628)</f>
        <v>0</v>
      </c>
      <c r="F627" s="198">
        <f t="shared" ref="F627:G627" si="80">SUM(F628)</f>
        <v>960000</v>
      </c>
      <c r="G627" s="202">
        <f t="shared" si="80"/>
        <v>0</v>
      </c>
      <c r="H627" s="925">
        <f t="shared" si="75"/>
        <v>0</v>
      </c>
    </row>
    <row r="628" spans="1:8" ht="39" thickBot="1">
      <c r="A628" s="898"/>
      <c r="B628" s="927"/>
      <c r="C628" s="926" t="s">
        <v>1024</v>
      </c>
      <c r="D628" s="928">
        <v>6090</v>
      </c>
      <c r="E628" s="201">
        <v>0</v>
      </c>
      <c r="F628" s="929">
        <v>960000</v>
      </c>
      <c r="G628" s="930">
        <v>0</v>
      </c>
      <c r="H628" s="747">
        <f t="shared" si="75"/>
        <v>0</v>
      </c>
    </row>
    <row r="629" spans="1:8" ht="15.75" thickBot="1">
      <c r="A629" s="898"/>
      <c r="B629" s="764">
        <v>92195</v>
      </c>
      <c r="C629" s="760" t="s">
        <v>44</v>
      </c>
      <c r="D629" s="761"/>
      <c r="E629" s="61">
        <f>E630+E633</f>
        <v>72500</v>
      </c>
      <c r="F629" s="61">
        <f>F630+F633</f>
        <v>72500</v>
      </c>
      <c r="G629" s="742">
        <f>G630+G633</f>
        <v>108781.65000000001</v>
      </c>
      <c r="H629" s="743">
        <f t="shared" si="75"/>
        <v>1.500436551724138</v>
      </c>
    </row>
    <row r="630" spans="1:8">
      <c r="A630" s="898"/>
      <c r="B630" s="4598" t="s">
        <v>21</v>
      </c>
      <c r="C630" s="4599"/>
      <c r="D630" s="753"/>
      <c r="E630" s="55">
        <f>SUM(E631:E632)</f>
        <v>72500</v>
      </c>
      <c r="F630" s="55">
        <f>SUM(F631:F632)</f>
        <v>72500</v>
      </c>
      <c r="G630" s="908">
        <f>SUM(G631:G632)</f>
        <v>108781.65000000001</v>
      </c>
      <c r="H630" s="744">
        <f t="shared" si="75"/>
        <v>1.500436551724138</v>
      </c>
    </row>
    <row r="631" spans="1:8" ht="25.5">
      <c r="A631" s="898"/>
      <c r="B631" s="931"/>
      <c r="C631" s="923" t="s">
        <v>1025</v>
      </c>
      <c r="D631" s="932" t="s">
        <v>32</v>
      </c>
      <c r="E631" s="195">
        <v>0</v>
      </c>
      <c r="F631" s="905">
        <v>0</v>
      </c>
      <c r="G631" s="807">
        <v>2226.02</v>
      </c>
      <c r="H631" s="906"/>
    </row>
    <row r="632" spans="1:8" ht="54.75" customHeight="1">
      <c r="A632" s="898"/>
      <c r="B632" s="918"/>
      <c r="C632" s="902" t="s">
        <v>288</v>
      </c>
      <c r="D632" s="891" t="s">
        <v>130</v>
      </c>
      <c r="E632" s="49">
        <v>72500</v>
      </c>
      <c r="F632" s="745">
        <v>72500</v>
      </c>
      <c r="G632" s="746">
        <v>106555.63</v>
      </c>
      <c r="H632" s="747">
        <f t="shared" ref="H632:H660" si="81">G632/F632</f>
        <v>1.4697328275862069</v>
      </c>
    </row>
    <row r="633" spans="1:8" ht="15.75" thickBot="1">
      <c r="A633" s="898"/>
      <c r="B633" s="4623" t="s">
        <v>26</v>
      </c>
      <c r="C633" s="4624"/>
      <c r="D633" s="753"/>
      <c r="E633" s="62">
        <v>0</v>
      </c>
      <c r="F633" s="62">
        <v>0</v>
      </c>
      <c r="G633" s="933">
        <v>0</v>
      </c>
      <c r="H633" s="744"/>
    </row>
    <row r="634" spans="1:8" s="1" customFormat="1" ht="26.25" thickBot="1">
      <c r="A634" s="1096">
        <v>925</v>
      </c>
      <c r="B634" s="1960"/>
      <c r="C634" s="1961" t="s">
        <v>289</v>
      </c>
      <c r="D634" s="1962"/>
      <c r="E634" s="1100">
        <f>E635+E644</f>
        <v>650000</v>
      </c>
      <c r="F634" s="735">
        <f>F635+F644</f>
        <v>1012562</v>
      </c>
      <c r="G634" s="1443">
        <f>G635+G644</f>
        <v>956950.72999999986</v>
      </c>
      <c r="H634" s="736">
        <f t="shared" si="81"/>
        <v>0.94507865197390373</v>
      </c>
    </row>
    <row r="635" spans="1:8" s="1" customFormat="1" ht="15.75" thickBot="1">
      <c r="A635" s="46"/>
      <c r="B635" s="1680">
        <v>92502</v>
      </c>
      <c r="C635" s="1732" t="s">
        <v>290</v>
      </c>
      <c r="D635" s="1109"/>
      <c r="E635" s="1432">
        <f t="shared" ref="E635:G635" si="82">E636+E642</f>
        <v>650000</v>
      </c>
      <c r="F635" s="1432">
        <f t="shared" si="82"/>
        <v>981602</v>
      </c>
      <c r="G635" s="383">
        <f t="shared" si="82"/>
        <v>925990.72999999986</v>
      </c>
      <c r="H635" s="1108">
        <f t="shared" si="81"/>
        <v>0.94334641738708747</v>
      </c>
    </row>
    <row r="636" spans="1:8" s="1" customFormat="1">
      <c r="A636" s="151"/>
      <c r="B636" s="4522" t="s">
        <v>21</v>
      </c>
      <c r="C636" s="4523"/>
      <c r="D636" s="1686"/>
      <c r="E636" s="1400">
        <f>SUM(E637:E641)</f>
        <v>650000</v>
      </c>
      <c r="F636" s="1400">
        <f>SUM(F637:F641)</f>
        <v>894202</v>
      </c>
      <c r="G636" s="1401">
        <f>SUM(G637:G641)</f>
        <v>908590.72999999986</v>
      </c>
      <c r="H636" s="1384">
        <f t="shared" si="81"/>
        <v>1.0160911404805624</v>
      </c>
    </row>
    <row r="637" spans="1:8" s="1" customFormat="1">
      <c r="A637" s="151"/>
      <c r="B637" s="1959"/>
      <c r="C637" s="4579" t="s">
        <v>291</v>
      </c>
      <c r="D637" s="1739" t="s">
        <v>24</v>
      </c>
      <c r="E637" s="1509">
        <v>0</v>
      </c>
      <c r="F637" s="1618">
        <v>0</v>
      </c>
      <c r="G637" s="1469">
        <v>11627.75</v>
      </c>
      <c r="H637" s="1620"/>
    </row>
    <row r="638" spans="1:8" s="1" customFormat="1">
      <c r="A638" s="151"/>
      <c r="B638" s="24"/>
      <c r="C638" s="4529"/>
      <c r="D638" s="267" t="s">
        <v>45</v>
      </c>
      <c r="E638" s="58">
        <v>0</v>
      </c>
      <c r="F638" s="423">
        <v>0</v>
      </c>
      <c r="G638" s="1469">
        <v>2763.83</v>
      </c>
      <c r="H638" s="1620"/>
    </row>
    <row r="639" spans="1:8" s="1" customFormat="1" ht="26.25" thickBot="1">
      <c r="A639" s="1826"/>
      <c r="B639" s="1963"/>
      <c r="C639" s="1964" t="s">
        <v>226</v>
      </c>
      <c r="D639" s="1807">
        <v>2230</v>
      </c>
      <c r="E639" s="893">
        <v>650000</v>
      </c>
      <c r="F639" s="894">
        <v>650000</v>
      </c>
      <c r="G639" s="895">
        <v>649998.99</v>
      </c>
      <c r="H639" s="896">
        <f t="shared" si="81"/>
        <v>0.99999844615384614</v>
      </c>
    </row>
    <row r="640" spans="1:8" s="1" customFormat="1" ht="25.5">
      <c r="A640" s="1825"/>
      <c r="B640" s="1744"/>
      <c r="C640" s="1965" t="s">
        <v>560</v>
      </c>
      <c r="D640" s="4591">
        <v>2460</v>
      </c>
      <c r="E640" s="1607">
        <v>0</v>
      </c>
      <c r="F640" s="1577">
        <v>31050</v>
      </c>
      <c r="G640" s="1578">
        <v>30907.439999999999</v>
      </c>
      <c r="H640" s="1579">
        <f t="shared" si="81"/>
        <v>0.99540869565217382</v>
      </c>
    </row>
    <row r="641" spans="1:8" s="1" customFormat="1" ht="25.5">
      <c r="A641" s="151"/>
      <c r="B641" s="1966"/>
      <c r="C641" s="1786" t="s">
        <v>47</v>
      </c>
      <c r="D641" s="4564"/>
      <c r="E641" s="1386">
        <v>0</v>
      </c>
      <c r="F641" s="1387">
        <f>244202-31050</f>
        <v>213152</v>
      </c>
      <c r="G641" s="1388">
        <f>244200.16-30907.44</f>
        <v>213292.72</v>
      </c>
      <c r="H641" s="1389">
        <f>G641/F641</f>
        <v>1.0006601861582345</v>
      </c>
    </row>
    <row r="642" spans="1:8" s="1" customFormat="1">
      <c r="A642" s="151"/>
      <c r="B642" s="4532" t="s">
        <v>67</v>
      </c>
      <c r="C642" s="4533"/>
      <c r="D642" s="1779"/>
      <c r="E642" s="1393">
        <f>SUM(E643)</f>
        <v>0</v>
      </c>
      <c r="F642" s="1393">
        <f t="shared" ref="F642:G642" si="83">SUM(F643)</f>
        <v>87400</v>
      </c>
      <c r="G642" s="1394">
        <f t="shared" si="83"/>
        <v>17400</v>
      </c>
      <c r="H642" s="1384">
        <f t="shared" si="81"/>
        <v>0.19908466819221968</v>
      </c>
    </row>
    <row r="643" spans="1:8" s="1" customFormat="1" ht="26.25" thickBot="1">
      <c r="A643" s="151"/>
      <c r="B643" s="1967"/>
      <c r="C643" s="422" t="s">
        <v>47</v>
      </c>
      <c r="D643" s="421">
        <v>6280</v>
      </c>
      <c r="E643" s="58">
        <v>0</v>
      </c>
      <c r="F643" s="423">
        <v>87400</v>
      </c>
      <c r="G643" s="424">
        <v>17400</v>
      </c>
      <c r="H643" s="425">
        <f>G643/F643</f>
        <v>0.19908466819221968</v>
      </c>
    </row>
    <row r="644" spans="1:8" ht="15.75" thickBot="1">
      <c r="A644" s="151"/>
      <c r="B644" s="429">
        <v>92595</v>
      </c>
      <c r="C644" s="430" t="s">
        <v>44</v>
      </c>
      <c r="D644" s="431"/>
      <c r="E644" s="1106">
        <f>E645+E647</f>
        <v>0</v>
      </c>
      <c r="F644" s="1106">
        <f t="shared" ref="F644:G644" si="84">F645+F647</f>
        <v>30960</v>
      </c>
      <c r="G644" s="1107">
        <f t="shared" si="84"/>
        <v>30960</v>
      </c>
      <c r="H644" s="1108">
        <f>G644/F644</f>
        <v>1</v>
      </c>
    </row>
    <row r="645" spans="1:8">
      <c r="A645" s="151"/>
      <c r="B645" s="4522" t="s">
        <v>21</v>
      </c>
      <c r="C645" s="4542"/>
      <c r="D645" s="1707"/>
      <c r="E645" s="1570">
        <f>SUM(E646)</f>
        <v>0</v>
      </c>
      <c r="F645" s="1570">
        <f>SUM(F646)</f>
        <v>30960</v>
      </c>
      <c r="G645" s="1571">
        <f>SUM(G646)</f>
        <v>30960</v>
      </c>
      <c r="H645" s="1384">
        <f>G645/F645</f>
        <v>1</v>
      </c>
    </row>
    <row r="646" spans="1:8" ht="25.5">
      <c r="A646" s="151"/>
      <c r="B646" s="1968"/>
      <c r="C646" s="1786" t="s">
        <v>47</v>
      </c>
      <c r="D646" s="1684">
        <v>2460</v>
      </c>
      <c r="E646" s="1618">
        <v>0</v>
      </c>
      <c r="F646" s="1387">
        <v>30960</v>
      </c>
      <c r="G646" s="1388">
        <v>30960</v>
      </c>
      <c r="H646" s="1389">
        <f>G646/F646</f>
        <v>1</v>
      </c>
    </row>
    <row r="647" spans="1:8" ht="15.75" thickBot="1">
      <c r="A647" s="1826"/>
      <c r="B647" s="4530" t="s">
        <v>26</v>
      </c>
      <c r="C647" s="4526"/>
      <c r="D647" s="1086"/>
      <c r="E647" s="1969">
        <v>0</v>
      </c>
      <c r="F647" s="1970">
        <v>0</v>
      </c>
      <c r="G647" s="1971">
        <v>0</v>
      </c>
      <c r="H647" s="1609"/>
    </row>
    <row r="648" spans="1:8" ht="15.75" thickBot="1">
      <c r="A648" s="427">
        <v>926</v>
      </c>
      <c r="B648" s="846"/>
      <c r="C648" s="847" t="s">
        <v>292</v>
      </c>
      <c r="D648" s="846"/>
      <c r="E648" s="293">
        <f>SUM(E649)</f>
        <v>0</v>
      </c>
      <c r="F648" s="293">
        <f>SUM(F649)</f>
        <v>0</v>
      </c>
      <c r="G648" s="294">
        <f>SUM(G649)</f>
        <v>46013.99</v>
      </c>
      <c r="H648" s="241"/>
    </row>
    <row r="649" spans="1:8" ht="15.75" thickBot="1">
      <c r="A649" s="834"/>
      <c r="B649" s="429">
        <v>92605</v>
      </c>
      <c r="C649" s="812" t="s">
        <v>293</v>
      </c>
      <c r="D649" s="813"/>
      <c r="E649" s="810">
        <f>SUM(E650,E654)</f>
        <v>0</v>
      </c>
      <c r="F649" s="810">
        <f>SUM(F650,F654)</f>
        <v>0</v>
      </c>
      <c r="G649" s="811">
        <f>SUM(G650,G654)</f>
        <v>46013.99</v>
      </c>
      <c r="H649" s="237"/>
    </row>
    <row r="650" spans="1:8">
      <c r="A650" s="834"/>
      <c r="B650" s="4627" t="s">
        <v>21</v>
      </c>
      <c r="C650" s="4628"/>
      <c r="D650" s="426"/>
      <c r="E650" s="196">
        <f>SUM(E651:E653)</f>
        <v>0</v>
      </c>
      <c r="F650" s="196">
        <f>SUM(F651:F653)</f>
        <v>0</v>
      </c>
      <c r="G650" s="276">
        <f>SUM(G651:G653)</f>
        <v>46013.99</v>
      </c>
      <c r="H650" s="238"/>
    </row>
    <row r="651" spans="1:8" ht="20.25" customHeight="1">
      <c r="A651" s="4631"/>
      <c r="B651" s="4629"/>
      <c r="C651" s="4641" t="s">
        <v>1114</v>
      </c>
      <c r="D651" s="819" t="s">
        <v>69</v>
      </c>
      <c r="E651" s="268">
        <v>0</v>
      </c>
      <c r="F651" s="227">
        <v>0</v>
      </c>
      <c r="G651" s="228">
        <v>765.12</v>
      </c>
      <c r="H651" s="269"/>
    </row>
    <row r="652" spans="1:8" ht="20.25" customHeight="1">
      <c r="A652" s="4631"/>
      <c r="B652" s="4570"/>
      <c r="C652" s="4642"/>
      <c r="D652" s="819" t="s">
        <v>42</v>
      </c>
      <c r="E652" s="848">
        <v>0</v>
      </c>
      <c r="F652" s="227">
        <v>0</v>
      </c>
      <c r="G652" s="228">
        <v>5850.7</v>
      </c>
      <c r="H652" s="269"/>
    </row>
    <row r="653" spans="1:8" ht="20.25" customHeight="1">
      <c r="A653" s="4631"/>
      <c r="B653" s="4630"/>
      <c r="C653" s="4643"/>
      <c r="D653" s="819" t="s">
        <v>79</v>
      </c>
      <c r="E653" s="849">
        <v>0</v>
      </c>
      <c r="F653" s="227">
        <v>0</v>
      </c>
      <c r="G653" s="228">
        <v>39398.17</v>
      </c>
      <c r="H653" s="269"/>
    </row>
    <row r="654" spans="1:8" ht="15.75" thickBot="1">
      <c r="A654" s="4632"/>
      <c r="B654" s="4633" t="s">
        <v>26</v>
      </c>
      <c r="C654" s="4634"/>
      <c r="D654" s="385"/>
      <c r="E654" s="278">
        <v>0</v>
      </c>
      <c r="F654" s="278">
        <v>0</v>
      </c>
      <c r="G654" s="850">
        <v>0</v>
      </c>
      <c r="H654" s="386"/>
    </row>
    <row r="655" spans="1:8" s="1" customFormat="1" ht="30.75" customHeight="1" thickBot="1">
      <c r="A655" s="4635" t="s">
        <v>294</v>
      </c>
      <c r="B655" s="4636"/>
      <c r="C655" s="4636"/>
      <c r="D655" s="153"/>
      <c r="E655" s="204">
        <f>E648+E634+E581+E537+E522+E440+E476+E405+E346+E286+E273+E263+E181+E170+E156+E140+E125+E120+E54+E46+E40+E32+E6+E513</f>
        <v>1833237233</v>
      </c>
      <c r="F655" s="204">
        <f>F648+F634+F581+F537+F522+F440+F476+F405+F346+F286+F273+F263+F181+F170+F156+F140+F125+F120+F54+F46+F40+F32+F6+F513</f>
        <v>2090859363</v>
      </c>
      <c r="G655" s="185">
        <f>G648+G634+G581+G537+G522+G440+G476+G405+G346+G286+G273+G263+G181+G170+G156+G140+G125+G120+G54+G46+G40+G32+G6+G513</f>
        <v>2093557985.8900003</v>
      </c>
      <c r="H655" s="220">
        <f t="shared" si="81"/>
        <v>1.0012906764260454</v>
      </c>
    </row>
    <row r="656" spans="1:8" s="1" customFormat="1">
      <c r="A656" s="208" t="s">
        <v>295</v>
      </c>
      <c r="B656" s="209"/>
      <c r="C656" s="209"/>
      <c r="D656" s="154"/>
      <c r="E656" s="186"/>
      <c r="F656" s="155"/>
      <c r="G656" s="218"/>
      <c r="H656" s="221"/>
    </row>
    <row r="657" spans="1:8" s="1" customFormat="1">
      <c r="A657" s="210" t="s">
        <v>296</v>
      </c>
      <c r="B657" s="211"/>
      <c r="C657" s="212"/>
      <c r="D657" s="156"/>
      <c r="E657" s="205">
        <f>E650+E636+E630+E615+E609+E597+E592+E587+E583+E578+E572+E566+E557+E550+E539+E534+E530+E524+E505+E489+E483+E478+E463+E448+E442+E437+E431+E426+E417+E413+E407+E393+E389+E378+E360+E353+E348+E333+E325+E315+E311+E307+E302+E298+E292+E288+E282+E275+E265+E229+E225+E218+E213+E192+E183+E177+E172+E158+E150+E146+E127+E122+E115+E89+E84+E78+E69+E56+E48+E42+E34+E27+E21+E16+E8+E645+E624+E546+E519+E515+E459+E422+E339+E270+E188+E142</f>
        <v>1350473217</v>
      </c>
      <c r="F657" s="205">
        <f>F650+F636+F630+F615+F609+F597+F592+F587+F583+F578+F572+F566+F557+F550+F539+F534+F530+F524+F505+F489+F483+F478+F463+F448+F442+F437+F431+F426+F417+F413+F407+F393+F389+F378+F360+F353+F348+F333+F325+F315+F311+F307+F302+F298+F292+F288+F282+F275+F265+F229+F225+F218+F213+F192+F183+F177+F172+F158+F150+F146+F127+F122+F115+F89+F84+F78+F69+F56+F48+F42+F34+F27+F21+F16+F8+F645+F624+F546+F519+F515+F459+F422+F339+F270+F188+F142</f>
        <v>1460187894</v>
      </c>
      <c r="G657" s="187">
        <f>G650+G636+G630+G615+G609+G597+G592+G587+G583+G578+G572+G566+G557+G550+G539+G534+G530+G524+G505+G489+G483+G478+G463+G448+G442+G437+G431+G426+G417+G413+G407+G393+G389+G378+G360+G353+G348+G333+G325+G315+G311+G307+G302+G298+G292+G288+G282+G275+G265+G229+G225+G218+G213+G192+G183+G177+G172+G158+G150+G146+G127+G122+G115+G89+G84+G78+G69+G56+G48+G42+G34+G27+G21+G16+G8+G645+G624+G546+G519+G515+G459+G422+G339+G270+G188+G142</f>
        <v>1489029943.8400002</v>
      </c>
      <c r="H657" s="222">
        <f t="shared" si="81"/>
        <v>1.0197522866464745</v>
      </c>
    </row>
    <row r="658" spans="1:8" s="1" customFormat="1" hidden="1">
      <c r="A658" s="4637" t="s">
        <v>297</v>
      </c>
      <c r="B658" s="4638"/>
      <c r="C658" s="4638"/>
      <c r="D658" s="157"/>
      <c r="E658" s="206"/>
      <c r="F658" s="206"/>
      <c r="G658" s="54"/>
      <c r="H658" s="222" t="e">
        <f t="shared" si="81"/>
        <v>#DIV/0!</v>
      </c>
    </row>
    <row r="659" spans="1:8" s="1" customFormat="1" hidden="1">
      <c r="A659" s="4637" t="s">
        <v>298</v>
      </c>
      <c r="B659" s="4638"/>
      <c r="C659" s="4638"/>
      <c r="D659" s="157"/>
      <c r="E659" s="206"/>
      <c r="F659" s="206"/>
      <c r="G659" s="54"/>
      <c r="H659" s="222" t="e">
        <f t="shared" si="81"/>
        <v>#DIV/0!</v>
      </c>
    </row>
    <row r="660" spans="1:8" s="67" customFormat="1" ht="15.75" thickBot="1">
      <c r="A660" s="213" t="s">
        <v>299</v>
      </c>
      <c r="B660" s="214"/>
      <c r="C660" s="215"/>
      <c r="D660" s="158"/>
      <c r="E660" s="207">
        <f>E654+E642+E633+E620+E613+E604+E594+E590+E585+E580+E576+E570+E564+E555+E544+E536+E532+E528+E512+E503+E486+E481+E474+E457+E446+E439+E435+E429+E418+E414+E409+E403+E391+E387+E375+E358+E351+E335+E329+E319+E313+E309+E305+E300+E295+E290+E285+E280+E268+E252+E227+E223+E216+E208+E186+E180+E175+E167+E155+E148+E137+E124+E119+E104+E87+E82+E72+E66+E51+E45+E39+E31+E25+E19+E13+E647+E627+E548+E521+E517+E461+E423+E344+E272+E190</f>
        <v>482764016</v>
      </c>
      <c r="F660" s="207">
        <f>F654+F642+F633+F620+F613+F604+F594+F590+F585+F580+F576+F570+F564+F555+F544+F536+F532+F528+F512+F503+F486+F481+F474+F457+F446+F439+F435+F429+F418+F414+F409+F403+F391+F387+F375+F358+F351+F335+F329+F319+F313+F309+F305+F300+F295+F290+F285+F280+F268+F252+F227+F223+F216+F208+F186+F180+F175+F167+F155+F148+F137+F124+F119+F104+F87+F82+F72+F66+F51+F45+F39+F31+F25+F19+F13+F647+F627+F548+F521+F517+F461+F423+F344+F272+F190</f>
        <v>630671469</v>
      </c>
      <c r="G660" s="188">
        <f>G654+G642+G633+G620+G613+G604+G594+G590+G585+G580+G576+G570+G564+G555+G544+G536+G532+G528+G512+G503+G486+G481+G474+G457+G446+G439+G435+G429+G418+G414+G409+G403+G391+G387+G375+G358+G351+G335+G329+G319+G313+G309+G305+G300+G295+G290+G285+G280+G268+G252+G227+G223+G216+G208+G186+G180+G175+G167+G155+G148+G137+G124+G119+G104+G87+G82+G72+G66+G51+G45+G39+G31+G25+G19+G13+G647+G627+G548+G521+G517+G461+G423+G344+G272+G190</f>
        <v>604528042.05000007</v>
      </c>
      <c r="H660" s="223">
        <f t="shared" si="81"/>
        <v>0.95854667884143663</v>
      </c>
    </row>
    <row r="661" spans="1:8" s="30" customFormat="1" hidden="1">
      <c r="A661" s="4639" t="s">
        <v>297</v>
      </c>
      <c r="B661" s="4640"/>
      <c r="C661" s="4640"/>
      <c r="D661" s="31"/>
      <c r="E661" s="189">
        <v>316686501</v>
      </c>
      <c r="F661" s="32"/>
      <c r="G661" s="35"/>
      <c r="H661" s="32"/>
    </row>
    <row r="662" spans="1:8" s="30" customFormat="1" ht="15.75" hidden="1" thickBot="1">
      <c r="A662" s="4625" t="s">
        <v>298</v>
      </c>
      <c r="B662" s="4626"/>
      <c r="C662" s="4626"/>
      <c r="D662" s="33"/>
      <c r="E662" s="190">
        <v>3001600</v>
      </c>
      <c r="F662" s="32"/>
      <c r="G662" s="35"/>
      <c r="H662" s="32"/>
    </row>
    <row r="663" spans="1:8" s="30" customFormat="1" hidden="1">
      <c r="A663" s="34"/>
      <c r="B663" s="34"/>
      <c r="C663" s="34"/>
      <c r="D663" s="34"/>
      <c r="E663" s="191"/>
      <c r="F663" s="32">
        <f>SUM(F657:F660)</f>
        <v>2090859363</v>
      </c>
      <c r="G663" s="35">
        <f>SUM(G657:G660)</f>
        <v>2093557985.8900003</v>
      </c>
      <c r="H663" s="32"/>
    </row>
    <row r="664" spans="1:8" s="30" customFormat="1" ht="15.75">
      <c r="A664" s="34"/>
      <c r="B664" s="34"/>
      <c r="C664" s="36"/>
      <c r="D664" s="36"/>
      <c r="E664" s="191"/>
      <c r="F664" s="191"/>
      <c r="G664" s="219"/>
      <c r="H664" s="32"/>
    </row>
    <row r="665" spans="1:8" s="30" customFormat="1" ht="15.75" hidden="1">
      <c r="A665" s="34"/>
      <c r="B665" s="34"/>
      <c r="C665" s="37" t="s">
        <v>300</v>
      </c>
      <c r="E665" s="191"/>
      <c r="F665" s="32"/>
      <c r="G665" s="35"/>
      <c r="H665" s="32"/>
    </row>
    <row r="666" spans="1:8" s="30" customFormat="1" hidden="1">
      <c r="A666" s="34"/>
      <c r="B666" s="34"/>
      <c r="C666" s="34"/>
      <c r="D666" s="34"/>
      <c r="E666" s="191"/>
      <c r="F666" s="32"/>
      <c r="G666" s="35"/>
      <c r="H666" s="32"/>
    </row>
    <row r="667" spans="1:8" s="30" customFormat="1" hidden="1">
      <c r="A667" s="34"/>
      <c r="B667" s="34"/>
      <c r="C667" s="34"/>
      <c r="D667" s="34"/>
      <c r="E667" s="191"/>
      <c r="F667" s="32"/>
      <c r="G667" s="35"/>
      <c r="H667" s="32"/>
    </row>
    <row r="668" spans="1:8" s="30" customFormat="1" hidden="1">
      <c r="A668" s="34"/>
      <c r="B668" s="34"/>
      <c r="C668" s="34"/>
      <c r="D668" s="34"/>
      <c r="E668" s="191"/>
      <c r="F668" s="32"/>
      <c r="G668" s="35"/>
      <c r="H668" s="32"/>
    </row>
    <row r="669" spans="1:8" s="30" customFormat="1" hidden="1">
      <c r="A669" s="34"/>
      <c r="B669" s="34"/>
      <c r="C669" s="34"/>
      <c r="D669" s="34"/>
      <c r="E669" s="191"/>
      <c r="F669" s="32"/>
      <c r="G669" s="35"/>
      <c r="H669" s="32"/>
    </row>
    <row r="670" spans="1:8" s="30" customFormat="1" hidden="1">
      <c r="A670" s="34"/>
      <c r="B670" s="34"/>
      <c r="C670" s="34"/>
      <c r="D670" s="34"/>
      <c r="E670" s="191"/>
      <c r="F670" s="32"/>
      <c r="G670" s="35"/>
      <c r="H670" s="32"/>
    </row>
    <row r="671" spans="1:8" s="30" customFormat="1" hidden="1">
      <c r="A671" s="34"/>
      <c r="B671" s="34"/>
      <c r="C671" s="34"/>
      <c r="D671" s="34"/>
      <c r="E671" s="191"/>
      <c r="F671" s="32"/>
      <c r="G671" s="35"/>
      <c r="H671" s="32"/>
    </row>
    <row r="672" spans="1:8" s="30" customFormat="1" hidden="1">
      <c r="A672" s="34"/>
      <c r="B672" s="34"/>
      <c r="C672" s="34"/>
      <c r="D672" s="34"/>
      <c r="E672" s="191"/>
      <c r="F672" s="32"/>
      <c r="G672" s="35"/>
      <c r="H672" s="32"/>
    </row>
    <row r="673" spans="1:8" s="30" customFormat="1" hidden="1">
      <c r="A673" s="34"/>
      <c r="B673" s="34"/>
      <c r="C673" s="34"/>
      <c r="D673" s="34"/>
      <c r="E673" s="191"/>
      <c r="F673" s="32"/>
      <c r="G673" s="35"/>
      <c r="H673" s="32"/>
    </row>
    <row r="674" spans="1:8" s="30" customFormat="1">
      <c r="A674" s="34"/>
      <c r="B674" s="34"/>
      <c r="C674" s="34"/>
      <c r="D674" s="34"/>
      <c r="E674" s="191"/>
      <c r="F674" s="191"/>
      <c r="G674" s="219"/>
      <c r="H674" s="32"/>
    </row>
    <row r="675" spans="1:8" s="30" customFormat="1">
      <c r="A675" s="34"/>
      <c r="B675" s="34"/>
      <c r="C675" s="34"/>
      <c r="D675" s="34"/>
      <c r="E675" s="191"/>
      <c r="F675" s="32"/>
      <c r="G675" s="32"/>
      <c r="H675" s="32"/>
    </row>
    <row r="676" spans="1:8" s="30" customFormat="1">
      <c r="A676" s="34"/>
      <c r="B676" s="34"/>
      <c r="C676" s="34"/>
      <c r="D676" s="34"/>
      <c r="E676" s="191"/>
      <c r="F676" s="32"/>
      <c r="G676" s="32"/>
      <c r="H676" s="32"/>
    </row>
    <row r="677" spans="1:8" s="30" customFormat="1">
      <c r="A677" s="34"/>
      <c r="B677" s="34"/>
      <c r="C677" s="34"/>
      <c r="D677" s="38"/>
      <c r="E677" s="191"/>
      <c r="F677" s="32"/>
      <c r="G677" s="32"/>
      <c r="H677" s="32"/>
    </row>
    <row r="678" spans="1:8" s="30" customFormat="1">
      <c r="A678" s="34"/>
      <c r="B678" s="34"/>
      <c r="C678" s="34"/>
      <c r="D678" s="34"/>
      <c r="E678" s="191"/>
      <c r="F678" s="32"/>
      <c r="G678" s="32"/>
      <c r="H678" s="32"/>
    </row>
    <row r="679" spans="1:8" s="30" customFormat="1">
      <c r="A679" s="34"/>
      <c r="B679" s="34"/>
      <c r="C679" s="34"/>
      <c r="D679" s="34"/>
      <c r="E679" s="191"/>
      <c r="F679" s="32"/>
      <c r="G679" s="32"/>
      <c r="H679" s="32"/>
    </row>
    <row r="680" spans="1:8" s="30" customFormat="1">
      <c r="A680" s="34"/>
      <c r="B680" s="34"/>
      <c r="C680" s="34"/>
      <c r="D680" s="34"/>
      <c r="E680" s="191"/>
      <c r="F680" s="32"/>
      <c r="G680" s="32"/>
      <c r="H680" s="32"/>
    </row>
    <row r="681" spans="1:8" s="30" customFormat="1">
      <c r="A681" s="34"/>
      <c r="B681" s="34"/>
      <c r="C681" s="34"/>
      <c r="D681" s="34"/>
      <c r="E681" s="191"/>
      <c r="F681" s="32"/>
      <c r="G681" s="32"/>
      <c r="H681" s="32"/>
    </row>
    <row r="682" spans="1:8" s="30" customFormat="1">
      <c r="A682" s="34"/>
      <c r="B682" s="34"/>
      <c r="C682" s="34"/>
      <c r="D682" s="34"/>
      <c r="E682" s="191"/>
      <c r="F682" s="32"/>
      <c r="G682" s="32"/>
      <c r="H682" s="32"/>
    </row>
    <row r="683" spans="1:8" s="30" customFormat="1">
      <c r="A683" s="34"/>
      <c r="B683" s="34"/>
      <c r="C683" s="34"/>
      <c r="D683" s="34"/>
      <c r="E683" s="191"/>
      <c r="F683" s="32"/>
      <c r="G683" s="32"/>
      <c r="H683" s="32"/>
    </row>
    <row r="684" spans="1:8" s="30" customFormat="1">
      <c r="A684" s="34"/>
      <c r="B684" s="34"/>
      <c r="C684" s="34"/>
      <c r="D684" s="34"/>
      <c r="E684" s="191"/>
      <c r="F684" s="32"/>
      <c r="G684" s="32"/>
      <c r="H684" s="32"/>
    </row>
    <row r="685" spans="1:8" s="30" customFormat="1">
      <c r="A685" s="34"/>
      <c r="B685" s="34"/>
      <c r="C685" s="34"/>
      <c r="D685" s="34"/>
      <c r="E685" s="191"/>
      <c r="F685" s="32"/>
      <c r="G685" s="32"/>
      <c r="H685" s="32"/>
    </row>
    <row r="686" spans="1:8" s="30" customFormat="1">
      <c r="A686" s="34"/>
      <c r="B686" s="34"/>
      <c r="C686" s="34"/>
      <c r="D686" s="34"/>
      <c r="E686" s="191"/>
      <c r="F686" s="32"/>
      <c r="G686" s="32"/>
      <c r="H686" s="32"/>
    </row>
    <row r="687" spans="1:8" s="30" customFormat="1">
      <c r="A687" s="34"/>
      <c r="B687" s="34"/>
      <c r="C687" s="34"/>
      <c r="D687" s="34"/>
      <c r="E687" s="191"/>
      <c r="F687" s="32"/>
      <c r="G687" s="32"/>
      <c r="H687" s="32"/>
    </row>
    <row r="688" spans="1:8" s="30" customFormat="1">
      <c r="A688" s="34"/>
      <c r="B688" s="34"/>
      <c r="C688" s="34"/>
      <c r="D688" s="34"/>
      <c r="E688" s="191"/>
      <c r="F688" s="32"/>
      <c r="G688" s="32"/>
      <c r="H688" s="32"/>
    </row>
    <row r="689" spans="1:8" s="30" customFormat="1">
      <c r="A689" s="34"/>
      <c r="B689" s="34"/>
      <c r="C689" s="34"/>
      <c r="D689" s="34"/>
      <c r="E689" s="191"/>
      <c r="F689" s="32"/>
      <c r="G689" s="32"/>
      <c r="H689" s="32"/>
    </row>
    <row r="690" spans="1:8" s="30" customFormat="1">
      <c r="A690" s="34"/>
      <c r="B690" s="34"/>
      <c r="C690" s="34"/>
      <c r="D690" s="34"/>
      <c r="E690" s="191"/>
      <c r="F690" s="32"/>
      <c r="G690" s="32"/>
      <c r="H690" s="32"/>
    </row>
    <row r="691" spans="1:8" s="30" customFormat="1">
      <c r="A691" s="34"/>
      <c r="B691" s="34"/>
      <c r="C691" s="39"/>
      <c r="D691" s="39"/>
      <c r="E691" s="192"/>
      <c r="F691" s="40"/>
      <c r="G691" s="32"/>
      <c r="H691" s="32"/>
    </row>
    <row r="692" spans="1:8" s="30" customFormat="1">
      <c r="A692" s="34"/>
      <c r="B692" s="34"/>
      <c r="C692" s="34"/>
      <c r="D692" s="34"/>
      <c r="E692" s="191"/>
      <c r="F692" s="32"/>
      <c r="G692" s="32"/>
      <c r="H692" s="32"/>
    </row>
    <row r="693" spans="1:8" s="30" customFormat="1">
      <c r="A693" s="34"/>
      <c r="B693" s="34"/>
      <c r="C693" s="34"/>
      <c r="D693" s="34"/>
      <c r="E693" s="191"/>
      <c r="F693" s="32"/>
      <c r="G693" s="32"/>
      <c r="H693" s="32"/>
    </row>
    <row r="694" spans="1:8" s="30" customFormat="1">
      <c r="A694" s="34"/>
      <c r="B694" s="34"/>
      <c r="C694" s="34"/>
      <c r="D694" s="34"/>
      <c r="E694" s="191"/>
      <c r="F694" s="32"/>
      <c r="G694" s="32"/>
      <c r="H694" s="32"/>
    </row>
    <row r="695" spans="1:8" s="30" customFormat="1">
      <c r="A695" s="34"/>
      <c r="B695" s="34"/>
      <c r="C695" s="34"/>
      <c r="D695" s="34"/>
      <c r="E695" s="191"/>
      <c r="F695" s="32"/>
      <c r="G695" s="32"/>
      <c r="H695" s="32"/>
    </row>
    <row r="696" spans="1:8" s="30" customFormat="1">
      <c r="A696" s="34"/>
      <c r="B696" s="34"/>
      <c r="C696" s="34"/>
      <c r="D696" s="34"/>
      <c r="E696" s="191"/>
      <c r="F696" s="32"/>
      <c r="G696" s="32"/>
      <c r="H696" s="32"/>
    </row>
    <row r="697" spans="1:8" s="30" customFormat="1">
      <c r="A697" s="34"/>
      <c r="B697" s="34"/>
      <c r="C697" s="34"/>
      <c r="D697" s="34"/>
      <c r="E697" s="191"/>
      <c r="F697" s="32"/>
      <c r="G697" s="32"/>
      <c r="H697" s="32"/>
    </row>
    <row r="698" spans="1:8" s="30" customFormat="1">
      <c r="A698" s="34"/>
      <c r="B698" s="34"/>
      <c r="C698" s="34"/>
      <c r="D698" s="34"/>
      <c r="E698" s="191"/>
      <c r="F698" s="32"/>
      <c r="G698" s="32"/>
      <c r="H698" s="32"/>
    </row>
    <row r="699" spans="1:8" s="30" customFormat="1">
      <c r="A699" s="34"/>
      <c r="B699" s="34"/>
      <c r="C699" s="34"/>
      <c r="D699" s="34"/>
      <c r="E699" s="191"/>
      <c r="F699" s="32"/>
      <c r="G699" s="32"/>
      <c r="H699" s="32"/>
    </row>
    <row r="700" spans="1:8" s="30" customFormat="1">
      <c r="A700" s="34"/>
      <c r="B700" s="34"/>
      <c r="C700" s="34"/>
      <c r="D700" s="34"/>
      <c r="E700" s="191"/>
      <c r="F700" s="32"/>
      <c r="G700" s="32"/>
      <c r="H700" s="32"/>
    </row>
    <row r="701" spans="1:8" s="30" customFormat="1">
      <c r="A701" s="34"/>
      <c r="B701" s="34"/>
      <c r="C701" s="39"/>
      <c r="D701" s="39"/>
      <c r="E701" s="192"/>
      <c r="F701" s="40"/>
      <c r="G701" s="32"/>
      <c r="H701" s="32"/>
    </row>
    <row r="702" spans="1:8" s="30" customFormat="1">
      <c r="A702" s="34"/>
      <c r="B702" s="34"/>
      <c r="C702" s="34"/>
      <c r="D702" s="34"/>
      <c r="E702" s="191"/>
      <c r="F702" s="32"/>
      <c r="G702" s="32"/>
      <c r="H702" s="32"/>
    </row>
    <row r="703" spans="1:8" s="30" customFormat="1">
      <c r="A703" s="34"/>
      <c r="B703" s="34"/>
      <c r="C703" s="34"/>
      <c r="D703" s="34"/>
      <c r="E703" s="191"/>
      <c r="F703" s="32"/>
      <c r="G703" s="32"/>
      <c r="H703" s="32"/>
    </row>
    <row r="704" spans="1:8" s="30" customFormat="1">
      <c r="A704" s="34"/>
      <c r="B704" s="34"/>
      <c r="C704" s="34"/>
      <c r="D704" s="34"/>
      <c r="E704" s="191"/>
      <c r="F704" s="32"/>
      <c r="G704" s="32"/>
      <c r="H704" s="32"/>
    </row>
    <row r="705" spans="1:8" s="30" customFormat="1">
      <c r="A705" s="34"/>
      <c r="B705" s="34"/>
      <c r="C705" s="34"/>
      <c r="D705" s="34"/>
      <c r="E705" s="191"/>
      <c r="F705" s="32"/>
      <c r="G705" s="32"/>
      <c r="H705" s="32"/>
    </row>
    <row r="706" spans="1:8" s="30" customFormat="1">
      <c r="A706" s="34"/>
      <c r="B706" s="34"/>
      <c r="C706" s="34"/>
      <c r="D706" s="34"/>
      <c r="E706" s="191"/>
      <c r="F706" s="32"/>
      <c r="G706" s="32"/>
      <c r="H706" s="32"/>
    </row>
    <row r="707" spans="1:8" s="30" customFormat="1">
      <c r="A707" s="34"/>
      <c r="B707" s="34"/>
      <c r="C707" s="34"/>
      <c r="D707" s="34"/>
      <c r="E707" s="191"/>
      <c r="F707" s="32"/>
      <c r="G707" s="32"/>
      <c r="H707" s="32"/>
    </row>
    <row r="708" spans="1:8" s="30" customFormat="1">
      <c r="A708" s="34"/>
      <c r="B708" s="34"/>
      <c r="C708" s="34"/>
      <c r="D708" s="34"/>
      <c r="E708" s="191"/>
      <c r="F708" s="32"/>
      <c r="G708" s="32"/>
      <c r="H708" s="32"/>
    </row>
    <row r="709" spans="1:8" s="30" customFormat="1">
      <c r="A709" s="34"/>
      <c r="B709" s="34"/>
      <c r="C709" s="34"/>
      <c r="D709" s="34"/>
      <c r="E709" s="191"/>
      <c r="F709" s="32"/>
      <c r="G709" s="32"/>
      <c r="H709" s="32"/>
    </row>
    <row r="710" spans="1:8" s="30" customFormat="1">
      <c r="A710" s="34"/>
      <c r="B710" s="34"/>
      <c r="C710" s="34"/>
      <c r="D710" s="34"/>
      <c r="E710" s="191"/>
      <c r="F710" s="32"/>
      <c r="G710" s="32"/>
      <c r="H710" s="32"/>
    </row>
    <row r="711" spans="1:8" s="30" customFormat="1">
      <c r="A711" s="34"/>
      <c r="B711" s="34"/>
      <c r="C711" s="34"/>
      <c r="D711" s="34"/>
      <c r="E711" s="191"/>
      <c r="F711" s="32"/>
      <c r="G711" s="32"/>
      <c r="H711" s="32"/>
    </row>
    <row r="712" spans="1:8" s="30" customFormat="1">
      <c r="A712" s="34"/>
      <c r="B712" s="34"/>
      <c r="C712" s="34"/>
      <c r="D712" s="34"/>
      <c r="E712" s="191"/>
      <c r="F712" s="32"/>
      <c r="G712" s="32"/>
      <c r="H712" s="32"/>
    </row>
    <row r="713" spans="1:8" s="30" customFormat="1">
      <c r="A713" s="34"/>
      <c r="B713" s="34"/>
      <c r="C713" s="34"/>
      <c r="D713" s="34"/>
      <c r="E713" s="191"/>
      <c r="F713" s="32"/>
      <c r="G713" s="32"/>
      <c r="H713" s="32"/>
    </row>
    <row r="714" spans="1:8" s="30" customFormat="1">
      <c r="A714" s="34"/>
      <c r="B714" s="34"/>
      <c r="C714" s="34"/>
      <c r="D714" s="34"/>
      <c r="E714" s="191"/>
      <c r="F714" s="32"/>
      <c r="G714" s="32"/>
      <c r="H714" s="32"/>
    </row>
    <row r="715" spans="1:8" s="30" customFormat="1">
      <c r="A715" s="34"/>
      <c r="B715" s="34"/>
      <c r="C715" s="34"/>
      <c r="D715" s="34"/>
      <c r="E715" s="191"/>
      <c r="F715" s="32"/>
      <c r="G715" s="32"/>
      <c r="H715" s="32"/>
    </row>
    <row r="716" spans="1:8" s="30" customFormat="1">
      <c r="A716" s="34"/>
      <c r="B716" s="34"/>
      <c r="C716" s="34"/>
      <c r="D716" s="34"/>
      <c r="E716" s="191"/>
      <c r="F716" s="32"/>
      <c r="G716" s="32"/>
      <c r="H716" s="32"/>
    </row>
    <row r="717" spans="1:8" s="30" customFormat="1">
      <c r="A717" s="34"/>
      <c r="B717" s="34"/>
      <c r="C717" s="34"/>
      <c r="D717" s="34"/>
      <c r="E717" s="191"/>
      <c r="F717" s="32"/>
      <c r="G717" s="32"/>
      <c r="H717" s="32"/>
    </row>
    <row r="718" spans="1:8" s="30" customFormat="1">
      <c r="A718" s="34"/>
      <c r="B718" s="34"/>
      <c r="C718" s="34"/>
      <c r="D718" s="34"/>
      <c r="E718" s="191"/>
      <c r="F718" s="32"/>
      <c r="G718" s="32"/>
      <c r="H718" s="32"/>
    </row>
    <row r="719" spans="1:8" s="30" customFormat="1">
      <c r="A719" s="34"/>
      <c r="B719" s="34"/>
      <c r="C719" s="34"/>
      <c r="D719" s="34"/>
      <c r="E719" s="191"/>
      <c r="F719" s="32"/>
      <c r="G719" s="32"/>
      <c r="H719" s="32"/>
    </row>
    <row r="720" spans="1:8" s="30" customFormat="1">
      <c r="A720" s="34"/>
      <c r="B720" s="34"/>
      <c r="C720" s="34"/>
      <c r="D720" s="34"/>
      <c r="E720" s="191"/>
      <c r="F720" s="32"/>
      <c r="G720" s="32"/>
      <c r="H720" s="32"/>
    </row>
    <row r="721" spans="1:8" s="30" customFormat="1">
      <c r="A721" s="34"/>
      <c r="B721" s="34"/>
      <c r="C721" s="34"/>
      <c r="D721" s="34"/>
      <c r="E721" s="191"/>
      <c r="F721" s="32"/>
      <c r="G721" s="32"/>
      <c r="H721" s="32"/>
    </row>
    <row r="722" spans="1:8" s="30" customFormat="1">
      <c r="A722" s="34"/>
      <c r="B722" s="34"/>
      <c r="C722" s="34"/>
      <c r="D722" s="34"/>
      <c r="E722" s="191"/>
      <c r="F722" s="32"/>
      <c r="G722" s="32"/>
      <c r="H722" s="32"/>
    </row>
    <row r="723" spans="1:8" s="30" customFormat="1">
      <c r="A723" s="34"/>
      <c r="B723" s="34"/>
      <c r="C723" s="34"/>
      <c r="D723" s="34"/>
      <c r="E723" s="191"/>
      <c r="F723" s="32"/>
      <c r="G723" s="32"/>
      <c r="H723" s="32"/>
    </row>
    <row r="724" spans="1:8" s="30" customFormat="1">
      <c r="A724" s="34"/>
      <c r="B724" s="34"/>
      <c r="C724" s="34"/>
      <c r="D724" s="34"/>
      <c r="E724" s="191"/>
      <c r="F724" s="32"/>
      <c r="G724" s="32"/>
      <c r="H724" s="32"/>
    </row>
    <row r="725" spans="1:8" s="30" customFormat="1">
      <c r="A725" s="34"/>
      <c r="B725" s="34"/>
      <c r="C725" s="34"/>
      <c r="D725" s="34"/>
      <c r="E725" s="191"/>
      <c r="F725" s="32"/>
      <c r="G725" s="32"/>
      <c r="H725" s="32"/>
    </row>
    <row r="726" spans="1:8" s="30" customFormat="1">
      <c r="A726" s="34"/>
      <c r="B726" s="34"/>
      <c r="C726" s="34"/>
      <c r="D726" s="34"/>
      <c r="E726" s="191"/>
      <c r="F726" s="32"/>
      <c r="G726" s="32"/>
      <c r="H726" s="32"/>
    </row>
    <row r="727" spans="1:8" s="30" customFormat="1">
      <c r="A727" s="34"/>
      <c r="B727" s="34"/>
      <c r="C727" s="34"/>
      <c r="D727" s="34"/>
      <c r="E727" s="191"/>
      <c r="F727" s="32"/>
      <c r="G727" s="32"/>
      <c r="H727" s="32"/>
    </row>
    <row r="728" spans="1:8" s="30" customFormat="1">
      <c r="A728" s="34"/>
      <c r="B728" s="34"/>
      <c r="C728" s="34"/>
      <c r="D728" s="34"/>
      <c r="E728" s="191"/>
      <c r="F728" s="32"/>
      <c r="G728" s="32"/>
      <c r="H728" s="32"/>
    </row>
    <row r="729" spans="1:8" s="30" customFormat="1">
      <c r="A729" s="34"/>
      <c r="B729" s="34"/>
      <c r="C729" s="34"/>
      <c r="D729" s="34"/>
      <c r="E729" s="191"/>
      <c r="F729" s="32"/>
      <c r="G729" s="32"/>
      <c r="H729" s="32"/>
    </row>
    <row r="730" spans="1:8" s="30" customFormat="1">
      <c r="A730" s="34"/>
      <c r="B730" s="34"/>
      <c r="C730" s="34"/>
      <c r="D730" s="34"/>
      <c r="E730" s="191"/>
      <c r="F730" s="32"/>
      <c r="G730" s="32"/>
      <c r="H730" s="32"/>
    </row>
    <row r="731" spans="1:8" s="30" customFormat="1">
      <c r="A731" s="34"/>
      <c r="B731" s="34"/>
      <c r="C731" s="34"/>
      <c r="D731" s="34"/>
      <c r="E731" s="191"/>
      <c r="F731" s="32"/>
      <c r="G731" s="32"/>
      <c r="H731" s="32"/>
    </row>
    <row r="732" spans="1:8" s="30" customFormat="1">
      <c r="A732" s="34"/>
      <c r="B732" s="34"/>
      <c r="C732" s="34"/>
      <c r="D732" s="34"/>
      <c r="E732" s="191"/>
      <c r="F732" s="32"/>
      <c r="G732" s="32"/>
      <c r="H732" s="32"/>
    </row>
    <row r="733" spans="1:8" s="30" customFormat="1">
      <c r="A733" s="34"/>
      <c r="B733" s="34"/>
      <c r="C733" s="34"/>
      <c r="D733" s="34"/>
      <c r="E733" s="191"/>
      <c r="F733" s="32"/>
      <c r="G733" s="32"/>
      <c r="H733" s="32"/>
    </row>
    <row r="734" spans="1:8" s="30" customFormat="1">
      <c r="A734" s="34"/>
      <c r="B734" s="34"/>
      <c r="C734" s="34"/>
      <c r="D734" s="34"/>
      <c r="E734" s="191"/>
      <c r="F734" s="32"/>
      <c r="G734" s="32"/>
      <c r="H734" s="32"/>
    </row>
    <row r="735" spans="1:8" s="30" customFormat="1">
      <c r="A735" s="34"/>
      <c r="B735" s="34"/>
      <c r="C735" s="34"/>
      <c r="D735" s="34"/>
      <c r="E735" s="191"/>
      <c r="F735" s="32"/>
      <c r="G735" s="32"/>
      <c r="H735" s="32"/>
    </row>
    <row r="736" spans="1:8" s="30" customFormat="1">
      <c r="A736" s="34"/>
      <c r="B736" s="34"/>
      <c r="C736" s="34"/>
      <c r="D736" s="34"/>
      <c r="E736" s="191"/>
      <c r="F736" s="32"/>
      <c r="G736" s="32"/>
      <c r="H736" s="32"/>
    </row>
    <row r="737" spans="1:8" s="30" customFormat="1">
      <c r="A737" s="34"/>
      <c r="B737" s="34"/>
      <c r="C737" s="34"/>
      <c r="D737" s="34"/>
      <c r="E737" s="191"/>
      <c r="F737" s="32"/>
      <c r="G737" s="32"/>
      <c r="H737" s="32"/>
    </row>
    <row r="738" spans="1:8" s="30" customFormat="1">
      <c r="A738" s="34"/>
      <c r="B738" s="34"/>
      <c r="C738" s="34"/>
      <c r="D738" s="34"/>
      <c r="E738" s="191"/>
      <c r="F738" s="32"/>
      <c r="G738" s="32"/>
      <c r="H738" s="32"/>
    </row>
    <row r="739" spans="1:8" s="30" customFormat="1">
      <c r="A739" s="34"/>
      <c r="B739" s="34"/>
      <c r="C739" s="34"/>
      <c r="D739" s="34"/>
      <c r="E739" s="191"/>
      <c r="F739" s="32"/>
      <c r="G739" s="32"/>
      <c r="H739" s="32"/>
    </row>
    <row r="740" spans="1:8" s="30" customFormat="1">
      <c r="A740" s="34"/>
      <c r="B740" s="34"/>
      <c r="C740" s="34"/>
      <c r="D740" s="34"/>
      <c r="E740" s="191"/>
      <c r="F740" s="32"/>
      <c r="G740" s="32"/>
      <c r="H740" s="32"/>
    </row>
    <row r="741" spans="1:8" s="30" customFormat="1">
      <c r="A741" s="34"/>
      <c r="B741" s="34"/>
      <c r="C741" s="34"/>
      <c r="D741" s="34"/>
      <c r="E741" s="191"/>
      <c r="F741" s="32"/>
      <c r="G741" s="32"/>
      <c r="H741" s="32"/>
    </row>
    <row r="742" spans="1:8" s="30" customFormat="1">
      <c r="A742" s="34"/>
      <c r="B742" s="34"/>
      <c r="C742" s="34"/>
      <c r="D742" s="34"/>
      <c r="E742" s="191"/>
      <c r="F742" s="32"/>
      <c r="G742" s="32"/>
      <c r="H742" s="32"/>
    </row>
    <row r="743" spans="1:8" s="30" customFormat="1">
      <c r="A743" s="34"/>
      <c r="B743" s="34"/>
      <c r="C743" s="34"/>
      <c r="D743" s="34"/>
      <c r="E743" s="191"/>
      <c r="F743" s="32"/>
      <c r="G743" s="32"/>
      <c r="H743" s="32"/>
    </row>
    <row r="744" spans="1:8" s="30" customFormat="1">
      <c r="A744" s="34"/>
      <c r="B744" s="34"/>
      <c r="C744" s="34"/>
      <c r="D744" s="34"/>
      <c r="E744" s="191"/>
      <c r="F744" s="32"/>
      <c r="G744" s="32"/>
      <c r="H744" s="32"/>
    </row>
    <row r="745" spans="1:8" s="30" customFormat="1">
      <c r="A745" s="34"/>
      <c r="B745" s="34"/>
      <c r="C745" s="34"/>
      <c r="D745" s="34"/>
      <c r="E745" s="191"/>
      <c r="F745" s="32"/>
      <c r="G745" s="32"/>
      <c r="H745" s="32"/>
    </row>
    <row r="746" spans="1:8" s="30" customFormat="1">
      <c r="A746" s="34"/>
      <c r="B746" s="34"/>
      <c r="C746" s="34"/>
      <c r="D746" s="34"/>
      <c r="E746" s="191"/>
      <c r="F746" s="32"/>
      <c r="G746" s="32"/>
      <c r="H746" s="32"/>
    </row>
    <row r="747" spans="1:8" s="30" customFormat="1">
      <c r="A747" s="34"/>
      <c r="B747" s="34"/>
      <c r="C747" s="34"/>
      <c r="D747" s="34"/>
      <c r="E747" s="191"/>
      <c r="F747" s="32"/>
      <c r="G747" s="32"/>
      <c r="H747" s="32"/>
    </row>
    <row r="748" spans="1:8" s="30" customFormat="1">
      <c r="A748" s="34"/>
      <c r="B748" s="34"/>
      <c r="C748" s="34"/>
      <c r="D748" s="34"/>
      <c r="E748" s="191"/>
      <c r="F748" s="32"/>
      <c r="G748" s="32"/>
      <c r="H748" s="32"/>
    </row>
    <row r="749" spans="1:8" s="30" customFormat="1">
      <c r="A749" s="34"/>
      <c r="B749" s="34"/>
      <c r="C749" s="34"/>
      <c r="D749" s="34"/>
      <c r="E749" s="191"/>
      <c r="F749" s="32"/>
      <c r="G749" s="32"/>
      <c r="H749" s="32"/>
    </row>
    <row r="750" spans="1:8" s="30" customFormat="1">
      <c r="A750" s="34"/>
      <c r="B750" s="34"/>
      <c r="C750" s="34"/>
      <c r="D750" s="34"/>
      <c r="E750" s="191"/>
      <c r="F750" s="32"/>
      <c r="G750" s="32"/>
      <c r="H750" s="32"/>
    </row>
    <row r="751" spans="1:8" s="30" customFormat="1">
      <c r="A751" s="34"/>
      <c r="B751" s="34"/>
      <c r="C751" s="34"/>
      <c r="D751" s="34"/>
      <c r="E751" s="191"/>
      <c r="F751" s="32"/>
      <c r="G751" s="32"/>
      <c r="H751" s="32"/>
    </row>
    <row r="752" spans="1:8" s="30" customFormat="1">
      <c r="A752" s="34"/>
      <c r="B752" s="34"/>
      <c r="C752" s="34"/>
      <c r="D752" s="34"/>
      <c r="E752" s="191"/>
      <c r="F752" s="32"/>
      <c r="G752" s="32"/>
      <c r="H752" s="32"/>
    </row>
    <row r="753" spans="1:8" s="30" customFormat="1">
      <c r="A753" s="34"/>
      <c r="B753" s="34"/>
      <c r="C753" s="34"/>
      <c r="D753" s="34"/>
      <c r="E753" s="191"/>
      <c r="F753" s="32"/>
      <c r="G753" s="32"/>
      <c r="H753" s="32"/>
    </row>
    <row r="754" spans="1:8" s="30" customFormat="1">
      <c r="A754" s="34"/>
      <c r="B754" s="34"/>
      <c r="C754" s="34"/>
      <c r="D754" s="34"/>
      <c r="E754" s="191"/>
      <c r="F754" s="32"/>
      <c r="G754" s="32"/>
      <c r="H754" s="32"/>
    </row>
    <row r="755" spans="1:8" s="30" customFormat="1">
      <c r="A755" s="34"/>
      <c r="B755" s="34"/>
      <c r="C755" s="34"/>
      <c r="D755" s="34"/>
      <c r="E755" s="191"/>
      <c r="F755" s="32"/>
      <c r="G755" s="32"/>
      <c r="H755" s="32"/>
    </row>
    <row r="756" spans="1:8" s="30" customFormat="1">
      <c r="A756" s="34"/>
      <c r="B756" s="34"/>
      <c r="C756" s="34"/>
      <c r="D756" s="34"/>
      <c r="E756" s="191"/>
      <c r="F756" s="32"/>
      <c r="G756" s="32"/>
      <c r="H756" s="32"/>
    </row>
    <row r="757" spans="1:8" s="30" customFormat="1">
      <c r="A757" s="34"/>
      <c r="B757" s="34"/>
      <c r="C757" s="34"/>
      <c r="D757" s="34"/>
      <c r="E757" s="191"/>
      <c r="F757" s="32"/>
      <c r="G757" s="32"/>
      <c r="H757" s="32"/>
    </row>
    <row r="758" spans="1:8" s="30" customFormat="1">
      <c r="A758" s="34"/>
      <c r="B758" s="34"/>
      <c r="C758" s="34"/>
      <c r="D758" s="34"/>
      <c r="E758" s="191"/>
      <c r="F758" s="32"/>
      <c r="G758" s="32"/>
      <c r="H758" s="32"/>
    </row>
    <row r="759" spans="1:8" s="30" customFormat="1">
      <c r="A759" s="34"/>
      <c r="B759" s="34"/>
      <c r="C759" s="34"/>
      <c r="D759" s="34"/>
      <c r="E759" s="191"/>
      <c r="F759" s="32"/>
      <c r="G759" s="32"/>
      <c r="H759" s="32"/>
    </row>
    <row r="760" spans="1:8" s="30" customFormat="1">
      <c r="A760" s="34"/>
      <c r="B760" s="34"/>
      <c r="C760" s="34"/>
      <c r="D760" s="34"/>
      <c r="E760" s="191"/>
      <c r="F760" s="32"/>
      <c r="G760" s="32"/>
      <c r="H760" s="32"/>
    </row>
    <row r="761" spans="1:8" s="30" customFormat="1">
      <c r="A761" s="34"/>
      <c r="B761" s="34"/>
      <c r="C761" s="34"/>
      <c r="D761" s="34"/>
      <c r="E761" s="191"/>
      <c r="F761" s="32"/>
      <c r="G761" s="32"/>
      <c r="H761" s="32"/>
    </row>
    <row r="762" spans="1:8" s="30" customFormat="1">
      <c r="A762" s="34"/>
      <c r="B762" s="34"/>
      <c r="C762" s="34"/>
      <c r="D762" s="34"/>
      <c r="E762" s="191"/>
      <c r="F762" s="32"/>
      <c r="G762" s="32"/>
      <c r="H762" s="32"/>
    </row>
    <row r="763" spans="1:8" s="30" customFormat="1">
      <c r="A763" s="34"/>
      <c r="B763" s="34"/>
      <c r="C763" s="34"/>
      <c r="D763" s="34"/>
      <c r="E763" s="191"/>
      <c r="F763" s="32"/>
      <c r="G763" s="32"/>
      <c r="H763" s="32"/>
    </row>
    <row r="764" spans="1:8" s="30" customFormat="1">
      <c r="A764" s="34"/>
      <c r="B764" s="34"/>
      <c r="C764" s="34"/>
      <c r="D764" s="34"/>
      <c r="E764" s="191"/>
      <c r="F764" s="32"/>
      <c r="G764" s="32"/>
      <c r="H764" s="32"/>
    </row>
    <row r="765" spans="1:8" s="30" customFormat="1">
      <c r="A765" s="34"/>
      <c r="B765" s="34"/>
      <c r="C765" s="34"/>
      <c r="D765" s="34"/>
      <c r="E765" s="191"/>
      <c r="F765" s="32"/>
      <c r="G765" s="32"/>
      <c r="H765" s="32"/>
    </row>
    <row r="766" spans="1:8" s="30" customFormat="1">
      <c r="A766" s="34"/>
      <c r="B766" s="34"/>
      <c r="C766" s="34"/>
      <c r="D766" s="34"/>
      <c r="E766" s="191"/>
      <c r="F766" s="32"/>
      <c r="G766" s="32"/>
      <c r="H766" s="32"/>
    </row>
    <row r="767" spans="1:8" s="30" customFormat="1">
      <c r="A767" s="34"/>
      <c r="B767" s="34"/>
      <c r="C767" s="34"/>
      <c r="D767" s="34"/>
      <c r="E767" s="191"/>
      <c r="F767" s="32"/>
      <c r="G767" s="32"/>
      <c r="H767" s="32"/>
    </row>
    <row r="768" spans="1:8" s="30" customFormat="1">
      <c r="A768" s="34"/>
      <c r="B768" s="34"/>
      <c r="C768" s="34"/>
      <c r="D768" s="34"/>
      <c r="E768" s="191"/>
      <c r="F768" s="32"/>
      <c r="G768" s="32"/>
      <c r="H768" s="32"/>
    </row>
    <row r="769" spans="1:8" s="30" customFormat="1">
      <c r="A769" s="34"/>
      <c r="B769" s="34"/>
      <c r="C769" s="34"/>
      <c r="D769" s="34"/>
      <c r="E769" s="191"/>
      <c r="F769" s="32"/>
      <c r="G769" s="32"/>
      <c r="H769" s="32"/>
    </row>
    <row r="770" spans="1:8" s="30" customFormat="1">
      <c r="A770" s="34"/>
      <c r="B770" s="34"/>
      <c r="C770" s="34"/>
      <c r="D770" s="34"/>
      <c r="E770" s="191"/>
      <c r="F770" s="32"/>
      <c r="G770" s="32"/>
      <c r="H770" s="32"/>
    </row>
    <row r="771" spans="1:8" s="30" customFormat="1">
      <c r="A771" s="34"/>
      <c r="B771" s="34"/>
      <c r="C771" s="34"/>
      <c r="D771" s="34"/>
      <c r="E771" s="191"/>
      <c r="F771" s="32"/>
      <c r="G771" s="32"/>
      <c r="H771" s="32"/>
    </row>
    <row r="772" spans="1:8" s="30" customFormat="1">
      <c r="A772" s="34"/>
      <c r="B772" s="34"/>
      <c r="C772" s="34"/>
      <c r="D772" s="34"/>
      <c r="E772" s="191"/>
      <c r="F772" s="32"/>
      <c r="G772" s="32"/>
      <c r="H772" s="32"/>
    </row>
    <row r="773" spans="1:8" s="30" customFormat="1">
      <c r="A773" s="34"/>
      <c r="B773" s="34"/>
      <c r="C773" s="34"/>
      <c r="D773" s="34"/>
      <c r="E773" s="191"/>
      <c r="F773" s="32"/>
      <c r="G773" s="32"/>
      <c r="H773" s="32"/>
    </row>
    <row r="774" spans="1:8" s="30" customFormat="1">
      <c r="A774" s="34"/>
      <c r="B774" s="34"/>
      <c r="C774" s="34"/>
      <c r="D774" s="34"/>
      <c r="E774" s="191"/>
      <c r="F774" s="32"/>
      <c r="G774" s="32"/>
      <c r="H774" s="32"/>
    </row>
    <row r="775" spans="1:8" s="30" customFormat="1">
      <c r="A775" s="34"/>
      <c r="B775" s="34"/>
      <c r="C775" s="34"/>
      <c r="D775" s="34"/>
      <c r="E775" s="191"/>
      <c r="F775" s="32"/>
      <c r="G775" s="32"/>
      <c r="H775" s="32"/>
    </row>
    <row r="776" spans="1:8" s="30" customFormat="1">
      <c r="A776" s="34"/>
      <c r="B776" s="34"/>
      <c r="C776" s="34"/>
      <c r="D776" s="34"/>
      <c r="E776" s="191"/>
      <c r="F776" s="32"/>
      <c r="G776" s="32"/>
      <c r="H776" s="32"/>
    </row>
    <row r="777" spans="1:8" s="30" customFormat="1">
      <c r="A777" s="34"/>
      <c r="B777" s="34"/>
      <c r="C777" s="34"/>
      <c r="D777" s="34"/>
      <c r="E777" s="191"/>
      <c r="F777" s="32"/>
      <c r="G777" s="32"/>
      <c r="H777" s="32"/>
    </row>
    <row r="778" spans="1:8" s="30" customFormat="1">
      <c r="A778" s="34"/>
      <c r="B778" s="34"/>
      <c r="C778" s="34"/>
      <c r="D778" s="34"/>
      <c r="E778" s="191"/>
      <c r="F778" s="32"/>
      <c r="G778" s="32"/>
      <c r="H778" s="32"/>
    </row>
    <row r="779" spans="1:8" s="30" customFormat="1">
      <c r="A779" s="34"/>
      <c r="B779" s="34"/>
      <c r="C779" s="34"/>
      <c r="D779" s="34"/>
      <c r="E779" s="191"/>
      <c r="F779" s="32"/>
      <c r="G779" s="32"/>
      <c r="H779" s="32"/>
    </row>
    <row r="780" spans="1:8" s="30" customFormat="1">
      <c r="A780" s="34"/>
      <c r="B780" s="34"/>
      <c r="C780" s="34"/>
      <c r="D780" s="34"/>
      <c r="E780" s="191"/>
      <c r="F780" s="32"/>
      <c r="G780" s="32"/>
      <c r="H780" s="32"/>
    </row>
    <row r="781" spans="1:8" s="30" customFormat="1">
      <c r="A781" s="34"/>
      <c r="B781" s="34"/>
      <c r="C781" s="34"/>
      <c r="D781" s="34"/>
      <c r="E781" s="191"/>
      <c r="F781" s="32"/>
      <c r="G781" s="32"/>
      <c r="H781" s="32"/>
    </row>
    <row r="782" spans="1:8" s="30" customFormat="1">
      <c r="A782" s="34"/>
      <c r="B782" s="34"/>
      <c r="C782" s="34"/>
      <c r="D782" s="34"/>
      <c r="E782" s="191"/>
      <c r="F782" s="32"/>
      <c r="G782" s="32"/>
      <c r="H782" s="32"/>
    </row>
    <row r="783" spans="1:8" s="30" customFormat="1">
      <c r="A783" s="34"/>
      <c r="B783" s="34"/>
      <c r="C783" s="34"/>
      <c r="D783" s="34"/>
      <c r="E783" s="191"/>
      <c r="F783" s="32"/>
      <c r="G783" s="32"/>
      <c r="H783" s="32"/>
    </row>
    <row r="784" spans="1:8" s="30" customFormat="1">
      <c r="A784" s="34"/>
      <c r="B784" s="34"/>
      <c r="C784" s="34"/>
      <c r="D784" s="34"/>
      <c r="E784" s="191"/>
      <c r="F784" s="32"/>
      <c r="G784" s="32"/>
      <c r="H784" s="32"/>
    </row>
    <row r="785" spans="1:8" s="30" customFormat="1">
      <c r="A785" s="34"/>
      <c r="B785" s="34"/>
      <c r="C785" s="34"/>
      <c r="D785" s="34"/>
      <c r="E785" s="191"/>
      <c r="F785" s="32"/>
      <c r="G785" s="32"/>
      <c r="H785" s="32"/>
    </row>
    <row r="786" spans="1:8" s="30" customFormat="1">
      <c r="A786" s="34"/>
      <c r="B786" s="34"/>
      <c r="C786" s="34"/>
      <c r="D786" s="34"/>
      <c r="E786" s="191"/>
      <c r="F786" s="32"/>
      <c r="G786" s="32"/>
      <c r="H786" s="32"/>
    </row>
    <row r="787" spans="1:8" s="30" customFormat="1">
      <c r="A787" s="34"/>
      <c r="B787" s="34"/>
      <c r="C787" s="34"/>
      <c r="D787" s="34"/>
      <c r="E787" s="191"/>
      <c r="F787" s="32"/>
      <c r="G787" s="32"/>
      <c r="H787" s="32"/>
    </row>
    <row r="788" spans="1:8" s="30" customFormat="1">
      <c r="A788" s="34"/>
      <c r="B788" s="34"/>
      <c r="C788" s="34"/>
      <c r="D788" s="34"/>
      <c r="E788" s="191"/>
      <c r="F788" s="32"/>
      <c r="G788" s="32"/>
      <c r="H788" s="32"/>
    </row>
    <row r="789" spans="1:8" s="30" customFormat="1">
      <c r="A789" s="34"/>
      <c r="B789" s="34"/>
      <c r="C789" s="34"/>
      <c r="D789" s="34"/>
      <c r="E789" s="191"/>
      <c r="F789" s="32"/>
      <c r="G789" s="32"/>
      <c r="H789" s="32"/>
    </row>
    <row r="790" spans="1:8" s="30" customFormat="1">
      <c r="A790" s="34"/>
      <c r="B790" s="34"/>
      <c r="C790" s="34"/>
      <c r="D790" s="34"/>
      <c r="E790" s="191"/>
      <c r="F790" s="32"/>
      <c r="G790" s="32"/>
      <c r="H790" s="32"/>
    </row>
    <row r="791" spans="1:8" s="30" customFormat="1">
      <c r="A791" s="34"/>
      <c r="B791" s="34"/>
      <c r="C791" s="34"/>
      <c r="D791" s="34"/>
      <c r="E791" s="191"/>
      <c r="F791" s="32"/>
      <c r="G791" s="32"/>
      <c r="H791" s="32"/>
    </row>
    <row r="792" spans="1:8" s="30" customFormat="1">
      <c r="A792" s="34"/>
      <c r="B792" s="34"/>
      <c r="C792" s="34"/>
      <c r="D792" s="34"/>
      <c r="E792" s="191"/>
      <c r="F792" s="32"/>
      <c r="G792" s="32"/>
      <c r="H792" s="32"/>
    </row>
    <row r="793" spans="1:8" s="30" customFormat="1">
      <c r="A793" s="34"/>
      <c r="B793" s="34"/>
      <c r="C793" s="34"/>
      <c r="D793" s="34"/>
      <c r="E793" s="191"/>
      <c r="F793" s="32"/>
      <c r="G793" s="32"/>
      <c r="H793" s="32"/>
    </row>
    <row r="794" spans="1:8" s="30" customFormat="1">
      <c r="A794" s="34"/>
      <c r="B794" s="34"/>
      <c r="C794" s="34"/>
      <c r="D794" s="34"/>
      <c r="E794" s="191"/>
      <c r="F794" s="32"/>
      <c r="G794" s="32"/>
      <c r="H794" s="32"/>
    </row>
    <row r="795" spans="1:8" s="30" customFormat="1">
      <c r="A795" s="34"/>
      <c r="B795" s="34"/>
      <c r="C795" s="34"/>
      <c r="D795" s="34"/>
      <c r="E795" s="191"/>
      <c r="F795" s="32"/>
      <c r="G795" s="32"/>
      <c r="H795" s="32"/>
    </row>
    <row r="796" spans="1:8" s="30" customFormat="1">
      <c r="A796" s="34"/>
      <c r="B796" s="34"/>
      <c r="C796" s="34"/>
      <c r="D796" s="34"/>
      <c r="E796" s="191"/>
      <c r="F796" s="32"/>
      <c r="G796" s="32"/>
      <c r="H796" s="32"/>
    </row>
    <row r="797" spans="1:8" s="30" customFormat="1">
      <c r="A797" s="34"/>
      <c r="B797" s="34"/>
      <c r="C797" s="34"/>
      <c r="D797" s="34"/>
      <c r="E797" s="191"/>
      <c r="F797" s="32"/>
      <c r="G797" s="32"/>
      <c r="H797" s="32"/>
    </row>
    <row r="798" spans="1:8" s="30" customFormat="1">
      <c r="A798" s="34"/>
      <c r="B798" s="34"/>
      <c r="C798" s="34"/>
      <c r="D798" s="34"/>
      <c r="E798" s="191"/>
      <c r="F798" s="32"/>
      <c r="G798" s="32"/>
      <c r="H798" s="32"/>
    </row>
    <row r="799" spans="1:8" s="30" customFormat="1">
      <c r="A799" s="34"/>
      <c r="B799" s="34"/>
      <c r="C799" s="34"/>
      <c r="D799" s="34"/>
      <c r="E799" s="191"/>
      <c r="F799" s="32"/>
      <c r="G799" s="32"/>
      <c r="H799" s="32"/>
    </row>
    <row r="800" spans="1:8" s="30" customFormat="1">
      <c r="A800" s="34"/>
      <c r="B800" s="34"/>
      <c r="C800" s="34"/>
      <c r="D800" s="34"/>
      <c r="E800" s="191"/>
      <c r="F800" s="32"/>
      <c r="G800" s="32"/>
      <c r="H800" s="32"/>
    </row>
    <row r="801" spans="1:8" s="30" customFormat="1">
      <c r="A801" s="34"/>
      <c r="B801" s="34"/>
      <c r="C801" s="34"/>
      <c r="D801" s="34"/>
      <c r="E801" s="191"/>
      <c r="F801" s="32"/>
      <c r="G801" s="32"/>
      <c r="H801" s="32"/>
    </row>
    <row r="802" spans="1:8" s="30" customFormat="1">
      <c r="A802" s="34"/>
      <c r="B802" s="34"/>
      <c r="C802" s="34"/>
      <c r="D802" s="34"/>
      <c r="E802" s="191"/>
      <c r="F802" s="32"/>
      <c r="G802" s="32"/>
      <c r="H802" s="32"/>
    </row>
    <row r="803" spans="1:8" s="30" customFormat="1">
      <c r="A803" s="34"/>
      <c r="B803" s="34"/>
      <c r="C803" s="34"/>
      <c r="D803" s="34"/>
      <c r="E803" s="191"/>
      <c r="F803" s="32"/>
      <c r="G803" s="32"/>
      <c r="H803" s="32"/>
    </row>
    <row r="804" spans="1:8" s="30" customFormat="1">
      <c r="A804" s="34"/>
      <c r="B804" s="34"/>
      <c r="C804" s="34"/>
      <c r="D804" s="34"/>
      <c r="E804" s="191"/>
      <c r="F804" s="32"/>
      <c r="G804" s="32"/>
      <c r="H804" s="32"/>
    </row>
    <row r="805" spans="1:8" s="30" customFormat="1">
      <c r="A805" s="34"/>
      <c r="B805" s="34"/>
      <c r="C805" s="34"/>
      <c r="D805" s="34"/>
      <c r="E805" s="191"/>
      <c r="F805" s="32"/>
      <c r="G805" s="32"/>
      <c r="H805" s="32"/>
    </row>
    <row r="806" spans="1:8" s="30" customFormat="1">
      <c r="A806" s="34"/>
      <c r="B806" s="34"/>
      <c r="C806" s="34"/>
      <c r="D806" s="34"/>
      <c r="E806" s="191"/>
      <c r="F806" s="32"/>
      <c r="G806" s="32"/>
      <c r="H806" s="32"/>
    </row>
    <row r="807" spans="1:8" s="30" customFormat="1">
      <c r="A807" s="34"/>
      <c r="B807" s="34"/>
      <c r="C807" s="34"/>
      <c r="D807" s="34"/>
      <c r="E807" s="191"/>
      <c r="F807" s="32"/>
      <c r="G807" s="32"/>
      <c r="H807" s="32"/>
    </row>
    <row r="808" spans="1:8" s="30" customFormat="1">
      <c r="A808" s="34"/>
      <c r="B808" s="34"/>
      <c r="C808" s="34"/>
      <c r="D808" s="34"/>
      <c r="E808" s="191"/>
      <c r="F808" s="32"/>
      <c r="G808" s="32"/>
      <c r="H808" s="32"/>
    </row>
    <row r="809" spans="1:8" s="30" customFormat="1">
      <c r="A809" s="34"/>
      <c r="B809" s="34"/>
      <c r="C809" s="34"/>
      <c r="D809" s="34"/>
      <c r="E809" s="191"/>
      <c r="F809" s="32"/>
      <c r="G809" s="32"/>
      <c r="H809" s="32"/>
    </row>
    <row r="810" spans="1:8" s="30" customFormat="1">
      <c r="A810" s="34"/>
      <c r="B810" s="34"/>
      <c r="C810" s="34"/>
      <c r="D810" s="34"/>
      <c r="E810" s="191"/>
      <c r="F810" s="32"/>
      <c r="G810" s="32"/>
      <c r="H810" s="32"/>
    </row>
    <row r="811" spans="1:8" s="30" customFormat="1">
      <c r="A811" s="34"/>
      <c r="B811" s="34"/>
      <c r="C811" s="34"/>
      <c r="D811" s="34"/>
      <c r="E811" s="191"/>
      <c r="F811" s="32"/>
      <c r="G811" s="32"/>
      <c r="H811" s="32"/>
    </row>
    <row r="812" spans="1:8" s="30" customFormat="1">
      <c r="A812" s="34"/>
      <c r="B812" s="34"/>
      <c r="C812" s="34"/>
      <c r="D812" s="34"/>
      <c r="E812" s="191"/>
      <c r="F812" s="32"/>
      <c r="G812" s="32"/>
      <c r="H812" s="32"/>
    </row>
    <row r="813" spans="1:8" s="30" customFormat="1">
      <c r="A813" s="34"/>
      <c r="B813" s="34"/>
      <c r="C813" s="34"/>
      <c r="D813" s="34"/>
      <c r="E813" s="191"/>
      <c r="F813" s="32"/>
      <c r="G813" s="32"/>
      <c r="H813" s="32"/>
    </row>
    <row r="814" spans="1:8" s="30" customFormat="1">
      <c r="A814" s="34"/>
      <c r="B814" s="34"/>
      <c r="C814" s="34"/>
      <c r="D814" s="34"/>
      <c r="E814" s="191"/>
      <c r="F814" s="32"/>
      <c r="G814" s="32"/>
      <c r="H814" s="32"/>
    </row>
    <row r="815" spans="1:8" s="30" customFormat="1">
      <c r="A815" s="34"/>
      <c r="B815" s="34"/>
      <c r="C815" s="34"/>
      <c r="D815" s="34"/>
      <c r="E815" s="191"/>
      <c r="F815" s="32"/>
      <c r="G815" s="32"/>
      <c r="H815" s="32"/>
    </row>
    <row r="816" spans="1:8" s="30" customFormat="1">
      <c r="A816" s="34"/>
      <c r="B816" s="34"/>
      <c r="C816" s="34"/>
      <c r="D816" s="34"/>
      <c r="E816" s="191"/>
      <c r="F816" s="32"/>
      <c r="G816" s="32"/>
      <c r="H816" s="32"/>
    </row>
    <row r="817" spans="1:8" s="30" customFormat="1">
      <c r="A817" s="34"/>
      <c r="B817" s="34"/>
      <c r="C817" s="34"/>
      <c r="D817" s="34"/>
      <c r="E817" s="191"/>
      <c r="F817" s="32"/>
      <c r="G817" s="32"/>
      <c r="H817" s="32"/>
    </row>
    <row r="818" spans="1:8" s="30" customFormat="1">
      <c r="A818" s="34"/>
      <c r="B818" s="34"/>
      <c r="C818" s="34"/>
      <c r="D818" s="34"/>
      <c r="E818" s="191"/>
      <c r="F818" s="32"/>
      <c r="G818" s="32"/>
      <c r="H818" s="32"/>
    </row>
    <row r="819" spans="1:8" s="30" customFormat="1">
      <c r="A819" s="34"/>
      <c r="B819" s="34"/>
      <c r="C819" s="34"/>
      <c r="D819" s="34"/>
      <c r="E819" s="191"/>
      <c r="F819" s="32"/>
      <c r="G819" s="32"/>
      <c r="H819" s="32"/>
    </row>
    <row r="820" spans="1:8" s="30" customFormat="1">
      <c r="A820" s="34"/>
      <c r="B820" s="34"/>
      <c r="C820" s="34"/>
      <c r="D820" s="34"/>
      <c r="E820" s="191"/>
      <c r="F820" s="32"/>
      <c r="G820" s="32"/>
      <c r="H820" s="32"/>
    </row>
    <row r="821" spans="1:8" s="30" customFormat="1">
      <c r="A821" s="34"/>
      <c r="B821" s="34"/>
      <c r="C821" s="34"/>
      <c r="D821" s="34"/>
      <c r="E821" s="191"/>
      <c r="F821" s="32"/>
      <c r="G821" s="32"/>
      <c r="H821" s="32"/>
    </row>
    <row r="822" spans="1:8" s="30" customFormat="1">
      <c r="A822" s="34"/>
      <c r="B822" s="34"/>
      <c r="C822" s="34"/>
      <c r="D822" s="34"/>
      <c r="E822" s="191"/>
      <c r="F822" s="32"/>
      <c r="G822" s="32"/>
      <c r="H822" s="32"/>
    </row>
    <row r="823" spans="1:8" s="30" customFormat="1">
      <c r="A823" s="34"/>
      <c r="B823" s="34"/>
      <c r="C823" s="34"/>
      <c r="D823" s="34"/>
      <c r="E823" s="191"/>
      <c r="F823" s="32"/>
      <c r="G823" s="32"/>
      <c r="H823" s="32"/>
    </row>
    <row r="824" spans="1:8" s="30" customFormat="1">
      <c r="A824" s="34"/>
      <c r="B824" s="34"/>
      <c r="C824" s="34"/>
      <c r="D824" s="34"/>
      <c r="E824" s="191"/>
      <c r="F824" s="32"/>
      <c r="G824" s="32"/>
      <c r="H824" s="32"/>
    </row>
    <row r="825" spans="1:8" s="30" customFormat="1">
      <c r="A825" s="34"/>
      <c r="B825" s="34"/>
      <c r="C825" s="34"/>
      <c r="D825" s="34"/>
      <c r="E825" s="191"/>
      <c r="F825" s="32"/>
      <c r="G825" s="32"/>
      <c r="H825" s="32"/>
    </row>
    <row r="826" spans="1:8" s="30" customFormat="1">
      <c r="A826" s="34"/>
      <c r="B826" s="34"/>
      <c r="C826" s="34"/>
      <c r="D826" s="34"/>
      <c r="E826" s="191"/>
      <c r="F826" s="32"/>
      <c r="G826" s="32"/>
      <c r="H826" s="32"/>
    </row>
    <row r="827" spans="1:8" s="30" customFormat="1">
      <c r="A827" s="34"/>
      <c r="B827" s="34"/>
      <c r="C827" s="34"/>
      <c r="D827" s="34"/>
      <c r="E827" s="191"/>
      <c r="F827" s="32"/>
      <c r="G827" s="32"/>
      <c r="H827" s="32"/>
    </row>
    <row r="828" spans="1:8" s="30" customFormat="1">
      <c r="A828" s="34"/>
      <c r="B828" s="34"/>
      <c r="C828" s="34"/>
      <c r="D828" s="34"/>
      <c r="E828" s="191"/>
      <c r="F828" s="32"/>
      <c r="G828" s="32"/>
      <c r="H828" s="32"/>
    </row>
    <row r="829" spans="1:8" s="30" customFormat="1">
      <c r="A829" s="34"/>
      <c r="B829" s="34"/>
      <c r="C829" s="34"/>
      <c r="D829" s="34"/>
      <c r="E829" s="191"/>
      <c r="F829" s="32"/>
      <c r="G829" s="32"/>
      <c r="H829" s="32"/>
    </row>
    <row r="830" spans="1:8" s="30" customFormat="1">
      <c r="A830" s="34"/>
      <c r="B830" s="34"/>
      <c r="C830" s="34"/>
      <c r="D830" s="34"/>
      <c r="E830" s="191"/>
      <c r="F830" s="32"/>
      <c r="G830" s="32"/>
      <c r="H830" s="32"/>
    </row>
    <row r="831" spans="1:8" s="30" customFormat="1">
      <c r="A831" s="34"/>
      <c r="B831" s="34"/>
      <c r="C831" s="34"/>
      <c r="D831" s="34"/>
      <c r="E831" s="191"/>
      <c r="F831" s="32"/>
      <c r="G831" s="32"/>
      <c r="H831" s="32"/>
    </row>
    <row r="832" spans="1:8" s="30" customFormat="1">
      <c r="A832" s="34"/>
      <c r="B832" s="34"/>
      <c r="C832" s="34"/>
      <c r="D832" s="34"/>
      <c r="E832" s="191"/>
      <c r="F832" s="32"/>
      <c r="G832" s="32"/>
      <c r="H832" s="32"/>
    </row>
    <row r="833" spans="1:8" s="30" customFormat="1">
      <c r="A833" s="34"/>
      <c r="B833" s="34"/>
      <c r="C833" s="34"/>
      <c r="D833" s="34"/>
      <c r="E833" s="191"/>
      <c r="F833" s="32"/>
      <c r="G833" s="32"/>
      <c r="H833" s="32"/>
    </row>
    <row r="834" spans="1:8" s="30" customFormat="1">
      <c r="A834" s="34"/>
      <c r="B834" s="34"/>
      <c r="C834" s="34"/>
      <c r="D834" s="34"/>
      <c r="E834" s="191"/>
      <c r="F834" s="32"/>
      <c r="G834" s="32"/>
      <c r="H834" s="32"/>
    </row>
    <row r="835" spans="1:8" s="30" customFormat="1">
      <c r="A835" s="34"/>
      <c r="B835" s="34"/>
      <c r="C835" s="34"/>
      <c r="D835" s="34"/>
      <c r="E835" s="191"/>
      <c r="F835" s="32"/>
      <c r="G835" s="32"/>
      <c r="H835" s="32"/>
    </row>
    <row r="836" spans="1:8" s="30" customFormat="1">
      <c r="A836" s="34"/>
      <c r="B836" s="34"/>
      <c r="C836" s="34"/>
      <c r="D836" s="34"/>
      <c r="E836" s="191"/>
      <c r="F836" s="32"/>
      <c r="G836" s="32"/>
      <c r="H836" s="32"/>
    </row>
    <row r="837" spans="1:8" s="30" customFormat="1">
      <c r="A837" s="34"/>
      <c r="B837" s="34"/>
      <c r="C837" s="34"/>
      <c r="D837" s="34"/>
      <c r="E837" s="191"/>
      <c r="F837" s="32"/>
      <c r="G837" s="32"/>
      <c r="H837" s="32"/>
    </row>
    <row r="838" spans="1:8" s="30" customFormat="1">
      <c r="A838" s="34"/>
      <c r="B838" s="34"/>
      <c r="C838" s="34"/>
      <c r="D838" s="34"/>
      <c r="E838" s="191"/>
      <c r="F838" s="32"/>
      <c r="G838" s="32"/>
      <c r="H838" s="32"/>
    </row>
    <row r="839" spans="1:8" s="30" customFormat="1">
      <c r="A839" s="34"/>
      <c r="B839" s="34"/>
      <c r="C839" s="34"/>
      <c r="D839" s="34"/>
      <c r="E839" s="191"/>
      <c r="F839" s="32"/>
      <c r="G839" s="32"/>
      <c r="H839" s="32"/>
    </row>
    <row r="840" spans="1:8" s="30" customFormat="1">
      <c r="A840" s="34"/>
      <c r="B840" s="34"/>
      <c r="C840" s="34"/>
      <c r="D840" s="34"/>
      <c r="E840" s="191"/>
      <c r="F840" s="32"/>
      <c r="G840" s="32"/>
      <c r="H840" s="32"/>
    </row>
    <row r="841" spans="1:8" s="30" customFormat="1">
      <c r="A841" s="34"/>
      <c r="B841" s="34"/>
      <c r="C841" s="34"/>
      <c r="D841" s="34"/>
      <c r="E841" s="191"/>
      <c r="F841" s="32"/>
      <c r="G841" s="32"/>
      <c r="H841" s="32"/>
    </row>
    <row r="842" spans="1:8" s="30" customFormat="1">
      <c r="A842" s="34"/>
      <c r="B842" s="34"/>
      <c r="C842" s="34"/>
      <c r="D842" s="34"/>
      <c r="E842" s="191"/>
      <c r="F842" s="32"/>
      <c r="G842" s="32"/>
      <c r="H842" s="32"/>
    </row>
    <row r="843" spans="1:8" s="30" customFormat="1">
      <c r="A843" s="34"/>
      <c r="B843" s="34"/>
      <c r="C843" s="34"/>
      <c r="D843" s="34"/>
      <c r="E843" s="191"/>
      <c r="F843" s="32"/>
      <c r="G843" s="32"/>
      <c r="H843" s="32"/>
    </row>
    <row r="844" spans="1:8" s="30" customFormat="1">
      <c r="A844" s="34"/>
      <c r="B844" s="34"/>
      <c r="C844" s="34"/>
      <c r="D844" s="34"/>
      <c r="E844" s="191"/>
      <c r="F844" s="32"/>
      <c r="G844" s="32"/>
      <c r="H844" s="32"/>
    </row>
    <row r="845" spans="1:8" s="30" customFormat="1">
      <c r="A845" s="34"/>
      <c r="B845" s="34"/>
      <c r="C845" s="34"/>
      <c r="D845" s="34"/>
      <c r="E845" s="191"/>
      <c r="F845" s="32"/>
      <c r="G845" s="32"/>
      <c r="H845" s="32"/>
    </row>
    <row r="846" spans="1:8" s="30" customFormat="1">
      <c r="A846" s="34"/>
      <c r="B846" s="34"/>
      <c r="C846" s="34"/>
      <c r="D846" s="34"/>
      <c r="E846" s="191"/>
      <c r="F846" s="32"/>
      <c r="G846" s="32"/>
      <c r="H846" s="32"/>
    </row>
    <row r="847" spans="1:8" s="30" customFormat="1">
      <c r="A847" s="34"/>
      <c r="B847" s="34"/>
      <c r="C847" s="34"/>
      <c r="D847" s="34"/>
      <c r="E847" s="191"/>
      <c r="F847" s="32"/>
      <c r="G847" s="32"/>
      <c r="H847" s="32"/>
    </row>
    <row r="848" spans="1:8" s="30" customFormat="1">
      <c r="A848" s="34"/>
      <c r="B848" s="34"/>
      <c r="C848" s="34"/>
      <c r="D848" s="34"/>
      <c r="E848" s="191"/>
      <c r="F848" s="32"/>
      <c r="G848" s="32"/>
      <c r="H848" s="32"/>
    </row>
    <row r="849" spans="1:8" s="30" customFormat="1">
      <c r="A849" s="34"/>
      <c r="B849" s="34"/>
      <c r="C849" s="34"/>
      <c r="D849" s="34"/>
      <c r="E849" s="191"/>
      <c r="F849" s="32"/>
      <c r="G849" s="32"/>
      <c r="H849" s="32"/>
    </row>
    <row r="850" spans="1:8" s="30" customFormat="1">
      <c r="A850" s="34"/>
      <c r="B850" s="34"/>
      <c r="C850" s="34"/>
      <c r="D850" s="34"/>
      <c r="E850" s="191"/>
      <c r="F850" s="32"/>
      <c r="G850" s="32"/>
      <c r="H850" s="32"/>
    </row>
    <row r="851" spans="1:8" s="30" customFormat="1">
      <c r="A851" s="34"/>
      <c r="B851" s="34"/>
      <c r="C851" s="34"/>
      <c r="D851" s="34"/>
      <c r="E851" s="191"/>
      <c r="F851" s="32"/>
      <c r="G851" s="32"/>
      <c r="H851" s="32"/>
    </row>
    <row r="852" spans="1:8" s="30" customFormat="1">
      <c r="A852" s="34"/>
      <c r="B852" s="34"/>
      <c r="C852" s="34"/>
      <c r="D852" s="34"/>
      <c r="E852" s="191"/>
      <c r="F852" s="32"/>
      <c r="G852" s="32"/>
      <c r="H852" s="32"/>
    </row>
    <row r="853" spans="1:8" s="30" customFormat="1">
      <c r="A853" s="34"/>
      <c r="B853" s="34"/>
      <c r="C853" s="34"/>
      <c r="D853" s="34"/>
      <c r="E853" s="191"/>
      <c r="F853" s="32"/>
      <c r="G853" s="32"/>
      <c r="H853" s="32"/>
    </row>
    <row r="854" spans="1:8" s="30" customFormat="1">
      <c r="A854" s="34"/>
      <c r="B854" s="34"/>
      <c r="C854" s="34"/>
      <c r="D854" s="34"/>
      <c r="E854" s="191"/>
      <c r="F854" s="32"/>
      <c r="G854" s="32"/>
      <c r="H854" s="32"/>
    </row>
    <row r="855" spans="1:8" s="30" customFormat="1">
      <c r="A855" s="34"/>
      <c r="B855" s="34"/>
      <c r="C855" s="34"/>
      <c r="D855" s="34"/>
      <c r="E855" s="191"/>
      <c r="F855" s="32"/>
      <c r="G855" s="32"/>
      <c r="H855" s="32"/>
    </row>
    <row r="856" spans="1:8" s="30" customFormat="1">
      <c r="A856" s="34"/>
      <c r="B856" s="34"/>
      <c r="C856" s="34"/>
      <c r="D856" s="34"/>
      <c r="E856" s="191"/>
      <c r="F856" s="32"/>
      <c r="G856" s="32"/>
      <c r="H856" s="32"/>
    </row>
    <row r="857" spans="1:8" s="30" customFormat="1">
      <c r="A857" s="34"/>
      <c r="B857" s="34"/>
      <c r="C857" s="34"/>
      <c r="D857" s="34"/>
      <c r="E857" s="191"/>
      <c r="F857" s="32"/>
      <c r="G857" s="32"/>
      <c r="H857" s="32"/>
    </row>
    <row r="858" spans="1:8" s="30" customFormat="1">
      <c r="A858" s="34"/>
      <c r="B858" s="34"/>
      <c r="C858" s="34"/>
      <c r="D858" s="34"/>
      <c r="E858" s="191"/>
      <c r="F858" s="32"/>
      <c r="G858" s="32"/>
      <c r="H858" s="32"/>
    </row>
    <row r="859" spans="1:8" s="30" customFormat="1">
      <c r="A859" s="34"/>
      <c r="B859" s="34"/>
      <c r="C859" s="34"/>
      <c r="D859" s="34"/>
      <c r="E859" s="191"/>
      <c r="F859" s="32"/>
      <c r="G859" s="32"/>
      <c r="H859" s="32"/>
    </row>
    <row r="860" spans="1:8" s="30" customFormat="1">
      <c r="A860" s="34"/>
      <c r="B860" s="34"/>
      <c r="C860" s="34"/>
      <c r="D860" s="34"/>
      <c r="E860" s="191"/>
      <c r="F860" s="32"/>
      <c r="G860" s="32"/>
      <c r="H860" s="32"/>
    </row>
    <row r="861" spans="1:8" s="30" customFormat="1">
      <c r="A861" s="34"/>
      <c r="B861" s="34"/>
      <c r="C861" s="34"/>
      <c r="D861" s="34"/>
      <c r="E861" s="191"/>
      <c r="F861" s="32"/>
      <c r="G861" s="32"/>
      <c r="H861" s="32"/>
    </row>
    <row r="862" spans="1:8" s="30" customFormat="1">
      <c r="A862" s="34"/>
      <c r="B862" s="34"/>
      <c r="C862" s="34"/>
      <c r="D862" s="34"/>
      <c r="E862" s="191"/>
      <c r="F862" s="32"/>
      <c r="G862" s="32"/>
      <c r="H862" s="32"/>
    </row>
    <row r="863" spans="1:8" s="30" customFormat="1">
      <c r="A863" s="34"/>
      <c r="B863" s="34"/>
      <c r="C863" s="34"/>
      <c r="D863" s="34"/>
      <c r="E863" s="191"/>
      <c r="F863" s="32"/>
      <c r="G863" s="32"/>
      <c r="H863" s="32"/>
    </row>
    <row r="864" spans="1:8" s="30" customFormat="1">
      <c r="A864" s="34"/>
      <c r="B864" s="34"/>
      <c r="C864" s="34"/>
      <c r="D864" s="34"/>
      <c r="E864" s="191"/>
      <c r="F864" s="32"/>
      <c r="G864" s="32"/>
      <c r="H864" s="32"/>
    </row>
    <row r="865" spans="1:8" s="30" customFormat="1">
      <c r="A865" s="34"/>
      <c r="B865" s="34"/>
      <c r="C865" s="34"/>
      <c r="D865" s="34"/>
      <c r="E865" s="191"/>
      <c r="F865" s="32"/>
      <c r="G865" s="32"/>
      <c r="H865" s="32"/>
    </row>
    <row r="866" spans="1:8" s="30" customFormat="1">
      <c r="A866" s="34"/>
      <c r="B866" s="34"/>
      <c r="C866" s="34"/>
      <c r="D866" s="34"/>
      <c r="E866" s="191"/>
      <c r="F866" s="32"/>
      <c r="G866" s="32"/>
      <c r="H866" s="32"/>
    </row>
    <row r="867" spans="1:8" s="30" customFormat="1">
      <c r="A867" s="34"/>
      <c r="B867" s="34"/>
      <c r="C867" s="34"/>
      <c r="D867" s="34"/>
      <c r="E867" s="191"/>
      <c r="F867" s="32"/>
      <c r="G867" s="32"/>
      <c r="H867" s="32"/>
    </row>
    <row r="868" spans="1:8" s="30" customFormat="1">
      <c r="A868" s="34"/>
      <c r="B868" s="34"/>
      <c r="C868" s="34"/>
      <c r="D868" s="34"/>
      <c r="E868" s="191"/>
      <c r="F868" s="32"/>
      <c r="G868" s="32"/>
      <c r="H868" s="32"/>
    </row>
    <row r="869" spans="1:8" s="30" customFormat="1">
      <c r="A869" s="34"/>
      <c r="B869" s="34"/>
      <c r="C869" s="34"/>
      <c r="D869" s="34"/>
      <c r="E869" s="191"/>
      <c r="F869" s="32"/>
      <c r="G869" s="32"/>
      <c r="H869" s="32"/>
    </row>
    <row r="870" spans="1:8" s="30" customFormat="1">
      <c r="A870" s="34"/>
      <c r="B870" s="34"/>
      <c r="C870" s="34"/>
      <c r="D870" s="34"/>
      <c r="E870" s="191"/>
      <c r="F870" s="32"/>
      <c r="G870" s="32"/>
      <c r="H870" s="32"/>
    </row>
    <row r="871" spans="1:8" s="30" customFormat="1">
      <c r="A871" s="34"/>
      <c r="B871" s="34"/>
      <c r="C871" s="34"/>
      <c r="D871" s="34"/>
      <c r="E871" s="191"/>
      <c r="F871" s="32"/>
      <c r="G871" s="32"/>
      <c r="H871" s="32"/>
    </row>
    <row r="872" spans="1:8" s="30" customFormat="1">
      <c r="A872" s="34"/>
      <c r="B872" s="34"/>
      <c r="C872" s="34"/>
      <c r="D872" s="34"/>
      <c r="E872" s="191"/>
      <c r="F872" s="32"/>
      <c r="G872" s="32"/>
      <c r="H872" s="32"/>
    </row>
    <row r="873" spans="1:8" s="30" customFormat="1">
      <c r="A873" s="34"/>
      <c r="B873" s="34"/>
      <c r="C873" s="34"/>
      <c r="D873" s="34"/>
      <c r="E873" s="191"/>
      <c r="F873" s="32"/>
      <c r="G873" s="32"/>
      <c r="H873" s="32"/>
    </row>
    <row r="874" spans="1:8" s="30" customFormat="1">
      <c r="A874" s="34"/>
      <c r="B874" s="34"/>
      <c r="C874" s="34"/>
      <c r="D874" s="34"/>
      <c r="E874" s="191"/>
      <c r="F874" s="32"/>
      <c r="G874" s="32"/>
      <c r="H874" s="32"/>
    </row>
    <row r="875" spans="1:8" s="30" customFormat="1">
      <c r="A875" s="34"/>
      <c r="B875" s="34"/>
      <c r="C875" s="34"/>
      <c r="D875" s="34"/>
      <c r="E875" s="191"/>
      <c r="F875" s="32"/>
      <c r="G875" s="32"/>
      <c r="H875" s="32"/>
    </row>
    <row r="876" spans="1:8" s="30" customFormat="1">
      <c r="A876" s="34"/>
      <c r="B876" s="34"/>
      <c r="C876" s="34"/>
      <c r="D876" s="34"/>
      <c r="E876" s="191"/>
      <c r="F876" s="32"/>
      <c r="G876" s="32"/>
      <c r="H876" s="32"/>
    </row>
    <row r="877" spans="1:8" s="30" customFormat="1">
      <c r="A877" s="34"/>
      <c r="B877" s="34"/>
      <c r="C877" s="34"/>
      <c r="D877" s="34"/>
      <c r="E877" s="191"/>
      <c r="F877" s="32"/>
      <c r="G877" s="32"/>
      <c r="H877" s="32"/>
    </row>
    <row r="878" spans="1:8" s="30" customFormat="1">
      <c r="A878" s="34"/>
      <c r="B878" s="34"/>
      <c r="C878" s="34"/>
      <c r="D878" s="34"/>
      <c r="E878" s="191"/>
      <c r="F878" s="32"/>
      <c r="G878" s="32"/>
      <c r="H878" s="32"/>
    </row>
    <row r="879" spans="1:8" s="30" customFormat="1">
      <c r="A879" s="34"/>
      <c r="B879" s="34"/>
      <c r="C879" s="34"/>
      <c r="D879" s="34"/>
      <c r="E879" s="191"/>
      <c r="F879" s="32"/>
      <c r="G879" s="32"/>
      <c r="H879" s="32"/>
    </row>
    <row r="880" spans="1:8" s="30" customFormat="1">
      <c r="A880" s="34"/>
      <c r="B880" s="34"/>
      <c r="C880" s="34"/>
      <c r="D880" s="34"/>
      <c r="E880" s="191"/>
      <c r="F880" s="32"/>
      <c r="G880" s="32"/>
      <c r="H880" s="32"/>
    </row>
    <row r="881" spans="1:8" s="30" customFormat="1">
      <c r="A881" s="34"/>
      <c r="B881" s="34"/>
      <c r="C881" s="34"/>
      <c r="D881" s="34"/>
      <c r="E881" s="191"/>
      <c r="F881" s="32"/>
      <c r="G881" s="32"/>
      <c r="H881" s="32"/>
    </row>
    <row r="882" spans="1:8" s="30" customFormat="1">
      <c r="A882" s="34"/>
      <c r="B882" s="34"/>
      <c r="C882" s="34"/>
      <c r="D882" s="34"/>
      <c r="E882" s="191"/>
      <c r="F882" s="32"/>
      <c r="G882" s="32"/>
      <c r="H882" s="32"/>
    </row>
    <row r="883" spans="1:8" s="30" customFormat="1">
      <c r="A883" s="34"/>
      <c r="B883" s="34"/>
      <c r="C883" s="34"/>
      <c r="D883" s="34"/>
      <c r="E883" s="191"/>
      <c r="F883" s="32"/>
      <c r="G883" s="32"/>
      <c r="H883" s="32"/>
    </row>
    <row r="884" spans="1:8" s="30" customFormat="1">
      <c r="A884" s="34"/>
      <c r="B884" s="34"/>
      <c r="C884" s="34"/>
      <c r="D884" s="34"/>
      <c r="E884" s="191"/>
      <c r="F884" s="32"/>
      <c r="G884" s="32"/>
      <c r="H884" s="32"/>
    </row>
    <row r="885" spans="1:8" s="30" customFormat="1">
      <c r="A885" s="34"/>
      <c r="B885" s="34"/>
      <c r="C885" s="34"/>
      <c r="D885" s="34"/>
      <c r="E885" s="191"/>
      <c r="F885" s="32"/>
      <c r="G885" s="32"/>
      <c r="H885" s="32"/>
    </row>
    <row r="886" spans="1:8" s="30" customFormat="1">
      <c r="A886" s="34"/>
      <c r="B886" s="34"/>
      <c r="C886" s="34"/>
      <c r="D886" s="34"/>
      <c r="E886" s="191"/>
      <c r="F886" s="32"/>
      <c r="G886" s="32"/>
      <c r="H886" s="32"/>
    </row>
    <row r="887" spans="1:8" s="30" customFormat="1">
      <c r="A887" s="34"/>
      <c r="B887" s="34"/>
      <c r="C887" s="34"/>
      <c r="D887" s="34"/>
      <c r="E887" s="191"/>
      <c r="F887" s="32"/>
      <c r="G887" s="32"/>
      <c r="H887" s="32"/>
    </row>
    <row r="888" spans="1:8" s="30" customFormat="1">
      <c r="A888" s="34"/>
      <c r="B888" s="34"/>
      <c r="C888" s="34"/>
      <c r="D888" s="34"/>
      <c r="E888" s="191"/>
      <c r="F888" s="32"/>
      <c r="G888" s="32"/>
      <c r="H888" s="32"/>
    </row>
    <row r="889" spans="1:8" s="30" customFormat="1">
      <c r="A889" s="34"/>
      <c r="B889" s="34"/>
      <c r="C889" s="34"/>
      <c r="D889" s="34"/>
      <c r="E889" s="191"/>
      <c r="F889" s="32"/>
      <c r="G889" s="32"/>
      <c r="H889" s="32"/>
    </row>
    <row r="890" spans="1:8" s="30" customFormat="1">
      <c r="A890" s="34"/>
      <c r="B890" s="34"/>
      <c r="C890" s="34"/>
      <c r="D890" s="34"/>
      <c r="E890" s="191"/>
      <c r="F890" s="32"/>
      <c r="G890" s="32"/>
      <c r="H890" s="32"/>
    </row>
    <row r="891" spans="1:8" s="30" customFormat="1">
      <c r="A891" s="34"/>
      <c r="B891" s="34"/>
      <c r="C891" s="34"/>
      <c r="D891" s="34"/>
      <c r="E891" s="191"/>
      <c r="F891" s="32"/>
      <c r="G891" s="32"/>
      <c r="H891" s="32"/>
    </row>
    <row r="892" spans="1:8" s="30" customFormat="1">
      <c r="A892" s="34"/>
      <c r="B892" s="34"/>
      <c r="C892" s="34"/>
      <c r="D892" s="34"/>
      <c r="E892" s="191"/>
      <c r="F892" s="32"/>
      <c r="G892" s="32"/>
      <c r="H892" s="32"/>
    </row>
    <row r="893" spans="1:8" s="30" customFormat="1">
      <c r="A893" s="34"/>
      <c r="B893" s="34"/>
      <c r="C893" s="34"/>
      <c r="D893" s="34"/>
      <c r="E893" s="191"/>
      <c r="F893" s="32"/>
      <c r="G893" s="32"/>
      <c r="H893" s="32"/>
    </row>
    <row r="894" spans="1:8" s="30" customFormat="1">
      <c r="A894" s="34"/>
      <c r="B894" s="34"/>
      <c r="C894" s="34"/>
      <c r="D894" s="34"/>
      <c r="E894" s="191"/>
      <c r="F894" s="32"/>
      <c r="G894" s="32"/>
      <c r="H894" s="32"/>
    </row>
    <row r="895" spans="1:8" s="30" customFormat="1">
      <c r="A895" s="34"/>
      <c r="B895" s="34"/>
      <c r="C895" s="34"/>
      <c r="D895" s="34"/>
      <c r="E895" s="191"/>
      <c r="F895" s="32"/>
      <c r="G895" s="32"/>
      <c r="H895" s="32"/>
    </row>
    <row r="896" spans="1:8" s="30" customFormat="1">
      <c r="A896" s="34"/>
      <c r="B896" s="34"/>
      <c r="C896" s="34"/>
      <c r="D896" s="34"/>
      <c r="E896" s="191"/>
      <c r="F896" s="32"/>
      <c r="G896" s="32"/>
      <c r="H896" s="32"/>
    </row>
    <row r="897" spans="1:8" s="30" customFormat="1">
      <c r="A897" s="34"/>
      <c r="B897" s="34"/>
      <c r="C897" s="34"/>
      <c r="D897" s="34"/>
      <c r="E897" s="191"/>
      <c r="F897" s="32"/>
      <c r="G897" s="32"/>
      <c r="H897" s="32"/>
    </row>
    <row r="898" spans="1:8" s="30" customFormat="1">
      <c r="A898" s="34"/>
      <c r="B898" s="34"/>
      <c r="C898" s="34"/>
      <c r="D898" s="34"/>
      <c r="E898" s="191"/>
      <c r="F898" s="32"/>
      <c r="G898" s="32"/>
      <c r="H898" s="32"/>
    </row>
    <row r="899" spans="1:8" s="30" customFormat="1">
      <c r="A899" s="34"/>
      <c r="B899" s="34"/>
      <c r="C899" s="34"/>
      <c r="D899" s="34"/>
      <c r="E899" s="191"/>
      <c r="F899" s="32"/>
      <c r="G899" s="32"/>
      <c r="H899" s="32"/>
    </row>
    <row r="900" spans="1:8" s="30" customFormat="1">
      <c r="A900" s="34"/>
      <c r="B900" s="34"/>
      <c r="C900" s="34"/>
      <c r="D900" s="34"/>
      <c r="E900" s="191"/>
      <c r="F900" s="32"/>
      <c r="G900" s="32"/>
      <c r="H900" s="32"/>
    </row>
    <row r="901" spans="1:8" s="30" customFormat="1">
      <c r="A901" s="34"/>
      <c r="B901" s="34"/>
      <c r="C901" s="34"/>
      <c r="D901" s="34"/>
      <c r="E901" s="191"/>
      <c r="F901" s="32"/>
      <c r="G901" s="32"/>
      <c r="H901" s="32"/>
    </row>
    <row r="902" spans="1:8" s="30" customFormat="1">
      <c r="A902" s="34"/>
      <c r="B902" s="34"/>
      <c r="C902" s="34"/>
      <c r="D902" s="34"/>
      <c r="E902" s="191"/>
      <c r="F902" s="32"/>
      <c r="G902" s="32"/>
      <c r="H902" s="32"/>
    </row>
    <row r="903" spans="1:8" s="30" customFormat="1">
      <c r="A903" s="34"/>
      <c r="B903" s="34"/>
      <c r="C903" s="34"/>
      <c r="D903" s="34"/>
      <c r="E903" s="191"/>
      <c r="F903" s="32"/>
      <c r="G903" s="32"/>
      <c r="H903" s="32"/>
    </row>
    <row r="904" spans="1:8" s="30" customFormat="1">
      <c r="A904" s="34"/>
      <c r="B904" s="34"/>
      <c r="C904" s="34"/>
      <c r="D904" s="34"/>
      <c r="E904" s="191"/>
      <c r="F904" s="32"/>
      <c r="G904" s="32"/>
      <c r="H904" s="32"/>
    </row>
    <row r="905" spans="1:8" s="30" customFormat="1">
      <c r="A905" s="34"/>
      <c r="B905" s="34"/>
      <c r="C905" s="34"/>
      <c r="D905" s="34"/>
      <c r="E905" s="191"/>
      <c r="F905" s="32"/>
      <c r="G905" s="32"/>
      <c r="H905" s="32"/>
    </row>
    <row r="906" spans="1:8" s="30" customFormat="1">
      <c r="A906" s="34"/>
      <c r="B906" s="34"/>
      <c r="C906" s="34"/>
      <c r="D906" s="34"/>
      <c r="E906" s="191"/>
      <c r="F906" s="32"/>
      <c r="G906" s="32"/>
      <c r="H906" s="32"/>
    </row>
    <row r="907" spans="1:8" s="30" customFormat="1">
      <c r="A907" s="34"/>
      <c r="B907" s="34"/>
      <c r="C907" s="34"/>
      <c r="D907" s="34"/>
      <c r="E907" s="191"/>
      <c r="F907" s="32"/>
      <c r="G907" s="32"/>
      <c r="H907" s="32"/>
    </row>
    <row r="908" spans="1:8" s="30" customFormat="1">
      <c r="A908" s="34"/>
      <c r="B908" s="34"/>
      <c r="C908" s="34"/>
      <c r="D908" s="34"/>
      <c r="E908" s="191"/>
      <c r="F908" s="32"/>
      <c r="G908" s="32"/>
      <c r="H908" s="32"/>
    </row>
    <row r="909" spans="1:8" s="30" customFormat="1">
      <c r="A909" s="34"/>
      <c r="B909" s="34"/>
      <c r="C909" s="34"/>
      <c r="D909" s="34"/>
      <c r="E909" s="191"/>
      <c r="F909" s="32"/>
      <c r="G909" s="32"/>
      <c r="H909" s="32"/>
    </row>
    <row r="910" spans="1:8" s="30" customFormat="1">
      <c r="A910" s="34"/>
      <c r="B910" s="34"/>
      <c r="C910" s="34"/>
      <c r="D910" s="34"/>
      <c r="E910" s="191"/>
      <c r="F910" s="32"/>
      <c r="G910" s="32"/>
      <c r="H910" s="32"/>
    </row>
    <row r="911" spans="1:8" s="30" customFormat="1">
      <c r="A911" s="34"/>
      <c r="B911" s="34"/>
      <c r="C911" s="34"/>
      <c r="D911" s="34"/>
      <c r="E911" s="191"/>
      <c r="F911" s="32"/>
      <c r="G911" s="32"/>
      <c r="H911" s="32"/>
    </row>
    <row r="912" spans="1:8" s="30" customFormat="1">
      <c r="A912" s="34"/>
      <c r="B912" s="34"/>
      <c r="C912" s="34"/>
      <c r="D912" s="34"/>
      <c r="E912" s="191"/>
      <c r="F912" s="32"/>
      <c r="G912" s="32"/>
      <c r="H912" s="32"/>
    </row>
    <row r="913" spans="1:8" s="30" customFormat="1">
      <c r="A913" s="34"/>
      <c r="B913" s="34"/>
      <c r="C913" s="34"/>
      <c r="D913" s="34"/>
      <c r="E913" s="191"/>
      <c r="F913" s="32"/>
      <c r="G913" s="32"/>
      <c r="H913" s="32"/>
    </row>
    <row r="914" spans="1:8" s="30" customFormat="1">
      <c r="A914" s="34"/>
      <c r="B914" s="34"/>
      <c r="C914" s="34"/>
      <c r="D914" s="34"/>
      <c r="E914" s="191"/>
      <c r="F914" s="32"/>
      <c r="G914" s="32"/>
      <c r="H914" s="32"/>
    </row>
    <row r="915" spans="1:8" s="30" customFormat="1">
      <c r="A915" s="34"/>
      <c r="B915" s="34"/>
      <c r="C915" s="34"/>
      <c r="D915" s="34"/>
      <c r="E915" s="191"/>
      <c r="F915" s="32"/>
      <c r="G915" s="32"/>
      <c r="H915" s="32"/>
    </row>
    <row r="916" spans="1:8" s="30" customFormat="1">
      <c r="A916" s="34"/>
      <c r="B916" s="34"/>
      <c r="C916" s="34"/>
      <c r="D916" s="34"/>
      <c r="E916" s="191"/>
      <c r="F916" s="32"/>
      <c r="G916" s="32"/>
      <c r="H916" s="32"/>
    </row>
    <row r="917" spans="1:8" s="30" customFormat="1">
      <c r="A917" s="34"/>
      <c r="B917" s="34"/>
      <c r="C917" s="34"/>
      <c r="D917" s="34"/>
      <c r="E917" s="191"/>
      <c r="F917" s="32"/>
      <c r="G917" s="32"/>
      <c r="H917" s="32"/>
    </row>
    <row r="918" spans="1:8" s="30" customFormat="1">
      <c r="A918" s="34"/>
      <c r="B918" s="34"/>
      <c r="C918" s="34"/>
      <c r="D918" s="34"/>
      <c r="E918" s="191"/>
      <c r="F918" s="32"/>
      <c r="G918" s="32"/>
      <c r="H918" s="32"/>
    </row>
    <row r="919" spans="1:8" s="30" customFormat="1">
      <c r="A919" s="34"/>
      <c r="B919" s="34"/>
      <c r="C919" s="34"/>
      <c r="D919" s="34"/>
      <c r="E919" s="191"/>
      <c r="F919" s="32"/>
      <c r="G919" s="32"/>
      <c r="H919" s="32"/>
    </row>
    <row r="920" spans="1:8" s="30" customFormat="1">
      <c r="A920" s="34"/>
      <c r="B920" s="34"/>
      <c r="C920" s="34"/>
      <c r="D920" s="34"/>
      <c r="E920" s="191"/>
      <c r="F920" s="32"/>
      <c r="G920" s="32"/>
      <c r="H920" s="32"/>
    </row>
    <row r="921" spans="1:8" s="30" customFormat="1">
      <c r="A921" s="34"/>
      <c r="B921" s="34"/>
      <c r="C921" s="34"/>
      <c r="D921" s="34"/>
      <c r="E921" s="191"/>
      <c r="F921" s="32"/>
      <c r="G921" s="32"/>
      <c r="H921" s="32"/>
    </row>
    <row r="922" spans="1:8" s="30" customFormat="1">
      <c r="A922" s="34"/>
      <c r="B922" s="34"/>
      <c r="C922" s="34"/>
      <c r="D922" s="34"/>
      <c r="E922" s="191"/>
      <c r="F922" s="32"/>
      <c r="G922" s="32"/>
      <c r="H922" s="32"/>
    </row>
    <row r="923" spans="1:8" s="30" customFormat="1">
      <c r="A923" s="34"/>
      <c r="B923" s="34"/>
      <c r="C923" s="34"/>
      <c r="D923" s="34"/>
      <c r="E923" s="191"/>
      <c r="F923" s="32"/>
      <c r="G923" s="32"/>
      <c r="H923" s="32"/>
    </row>
    <row r="924" spans="1:8" s="30" customFormat="1">
      <c r="A924" s="34"/>
      <c r="B924" s="34"/>
      <c r="C924" s="34"/>
      <c r="D924" s="34"/>
      <c r="E924" s="191"/>
      <c r="F924" s="32"/>
      <c r="G924" s="32"/>
      <c r="H924" s="32"/>
    </row>
    <row r="925" spans="1:8" s="30" customFormat="1">
      <c r="A925" s="34"/>
      <c r="B925" s="34"/>
      <c r="C925" s="34"/>
      <c r="D925" s="34"/>
      <c r="E925" s="191"/>
      <c r="F925" s="32"/>
      <c r="G925" s="32"/>
      <c r="H925" s="32"/>
    </row>
    <row r="926" spans="1:8" s="30" customFormat="1">
      <c r="A926" s="34"/>
      <c r="B926" s="34"/>
      <c r="C926" s="34"/>
      <c r="D926" s="34"/>
      <c r="E926" s="191"/>
      <c r="F926" s="32"/>
      <c r="G926" s="32"/>
      <c r="H926" s="32"/>
    </row>
    <row r="927" spans="1:8" s="30" customFormat="1">
      <c r="A927" s="34"/>
      <c r="B927" s="34"/>
      <c r="C927" s="34"/>
      <c r="D927" s="34"/>
      <c r="E927" s="191"/>
      <c r="F927" s="32"/>
      <c r="G927" s="32"/>
      <c r="H927" s="32"/>
    </row>
    <row r="928" spans="1:8" s="30" customFormat="1">
      <c r="A928" s="34"/>
      <c r="B928" s="34"/>
      <c r="C928" s="34"/>
      <c r="D928" s="34"/>
      <c r="E928" s="191"/>
      <c r="F928" s="32"/>
      <c r="G928" s="32"/>
      <c r="H928" s="32"/>
    </row>
    <row r="929" spans="1:8" s="30" customFormat="1">
      <c r="A929" s="34"/>
      <c r="B929" s="34"/>
      <c r="C929" s="34"/>
      <c r="D929" s="34"/>
      <c r="E929" s="191"/>
      <c r="F929" s="32"/>
      <c r="G929" s="32"/>
      <c r="H929" s="32"/>
    </row>
    <row r="930" spans="1:8" s="30" customFormat="1">
      <c r="A930" s="34"/>
      <c r="B930" s="34"/>
      <c r="C930" s="34"/>
      <c r="D930" s="34"/>
      <c r="E930" s="191"/>
      <c r="F930" s="32"/>
      <c r="G930" s="32"/>
      <c r="H930" s="32"/>
    </row>
    <row r="931" spans="1:8" s="30" customFormat="1">
      <c r="A931" s="34"/>
      <c r="B931" s="34"/>
      <c r="C931" s="34"/>
      <c r="D931" s="34"/>
      <c r="E931" s="191"/>
      <c r="F931" s="32"/>
      <c r="G931" s="32"/>
      <c r="H931" s="32"/>
    </row>
    <row r="932" spans="1:8" s="30" customFormat="1">
      <c r="A932" s="34"/>
      <c r="B932" s="34"/>
      <c r="C932" s="34"/>
      <c r="D932" s="34"/>
      <c r="E932" s="191"/>
      <c r="F932" s="32"/>
      <c r="G932" s="32"/>
      <c r="H932" s="32"/>
    </row>
    <row r="933" spans="1:8" s="30" customFormat="1">
      <c r="A933" s="34"/>
      <c r="B933" s="34"/>
      <c r="C933" s="34"/>
      <c r="D933" s="34"/>
      <c r="E933" s="191"/>
      <c r="F933" s="32"/>
      <c r="G933" s="32"/>
      <c r="H933" s="32"/>
    </row>
    <row r="934" spans="1:8" s="30" customFormat="1">
      <c r="A934" s="34"/>
      <c r="B934" s="34"/>
      <c r="C934" s="34"/>
      <c r="D934" s="34"/>
      <c r="E934" s="191"/>
      <c r="F934" s="32"/>
      <c r="G934" s="32"/>
      <c r="H934" s="32"/>
    </row>
    <row r="935" spans="1:8" s="30" customFormat="1">
      <c r="A935" s="34"/>
      <c r="B935" s="34"/>
      <c r="C935" s="34"/>
      <c r="D935" s="34"/>
      <c r="E935" s="191"/>
      <c r="F935" s="32"/>
      <c r="G935" s="32"/>
      <c r="H935" s="32"/>
    </row>
    <row r="936" spans="1:8" s="30" customFormat="1">
      <c r="A936" s="34"/>
      <c r="B936" s="34"/>
      <c r="C936" s="34"/>
      <c r="D936" s="34"/>
      <c r="E936" s="191"/>
      <c r="F936" s="32"/>
      <c r="G936" s="32"/>
      <c r="H936" s="32"/>
    </row>
    <row r="937" spans="1:8" s="30" customFormat="1">
      <c r="A937" s="34"/>
      <c r="B937" s="34"/>
      <c r="C937" s="34"/>
      <c r="D937" s="34"/>
      <c r="E937" s="191"/>
      <c r="F937" s="32"/>
      <c r="G937" s="32"/>
      <c r="H937" s="32"/>
    </row>
    <row r="938" spans="1:8" s="30" customFormat="1">
      <c r="A938" s="34"/>
      <c r="B938" s="34"/>
      <c r="C938" s="34"/>
      <c r="D938" s="34"/>
      <c r="E938" s="191"/>
      <c r="F938" s="32"/>
      <c r="G938" s="32"/>
      <c r="H938" s="32"/>
    </row>
    <row r="939" spans="1:8" s="30" customFormat="1">
      <c r="A939" s="34"/>
      <c r="B939" s="34"/>
      <c r="C939" s="34"/>
      <c r="D939" s="34"/>
      <c r="E939" s="191"/>
      <c r="F939" s="32"/>
      <c r="G939" s="32"/>
      <c r="H939" s="32"/>
    </row>
    <row r="940" spans="1:8" s="30" customFormat="1">
      <c r="A940" s="34"/>
      <c r="B940" s="34"/>
      <c r="C940" s="34"/>
      <c r="D940" s="34"/>
      <c r="E940" s="191"/>
      <c r="F940" s="32"/>
      <c r="G940" s="32"/>
      <c r="H940" s="32"/>
    </row>
    <row r="941" spans="1:8" s="30" customFormat="1">
      <c r="A941" s="34"/>
      <c r="B941" s="34"/>
      <c r="C941" s="34"/>
      <c r="D941" s="34"/>
      <c r="E941" s="191"/>
      <c r="F941" s="32"/>
      <c r="G941" s="32"/>
      <c r="H941" s="32"/>
    </row>
    <row r="942" spans="1:8" s="30" customFormat="1">
      <c r="A942" s="34"/>
      <c r="B942" s="34"/>
      <c r="C942" s="34"/>
      <c r="D942" s="34"/>
      <c r="E942" s="191"/>
      <c r="F942" s="32"/>
      <c r="G942" s="32"/>
      <c r="H942" s="32"/>
    </row>
    <row r="943" spans="1:8" s="30" customFormat="1">
      <c r="A943" s="34"/>
      <c r="B943" s="34"/>
      <c r="C943" s="34"/>
      <c r="D943" s="34"/>
      <c r="E943" s="191"/>
      <c r="F943" s="32"/>
      <c r="G943" s="32"/>
      <c r="H943" s="32"/>
    </row>
    <row r="944" spans="1:8" s="30" customFormat="1">
      <c r="A944" s="34"/>
      <c r="B944" s="34"/>
      <c r="C944" s="34"/>
      <c r="D944" s="34"/>
      <c r="E944" s="191"/>
      <c r="F944" s="32"/>
      <c r="G944" s="32"/>
      <c r="H944" s="32"/>
    </row>
    <row r="945" spans="1:8" s="30" customFormat="1">
      <c r="A945" s="34"/>
      <c r="B945" s="34"/>
      <c r="C945" s="34"/>
      <c r="D945" s="34"/>
      <c r="E945" s="191"/>
      <c r="F945" s="32"/>
      <c r="G945" s="32"/>
      <c r="H945" s="32"/>
    </row>
    <row r="946" spans="1:8" s="30" customFormat="1">
      <c r="A946" s="34"/>
      <c r="B946" s="34"/>
      <c r="C946" s="34"/>
      <c r="D946" s="34"/>
      <c r="E946" s="191"/>
      <c r="F946" s="32"/>
      <c r="G946" s="32"/>
      <c r="H946" s="32"/>
    </row>
    <row r="947" spans="1:8" s="30" customFormat="1">
      <c r="A947" s="34"/>
      <c r="B947" s="34"/>
      <c r="C947" s="34"/>
      <c r="D947" s="34"/>
      <c r="E947" s="191"/>
      <c r="F947" s="32"/>
      <c r="G947" s="32"/>
      <c r="H947" s="32"/>
    </row>
    <row r="948" spans="1:8" s="30" customFormat="1">
      <c r="A948" s="34"/>
      <c r="B948" s="34"/>
      <c r="C948" s="34"/>
      <c r="D948" s="34"/>
      <c r="E948" s="191"/>
      <c r="F948" s="32"/>
      <c r="G948" s="32"/>
      <c r="H948" s="32"/>
    </row>
    <row r="949" spans="1:8" s="30" customFormat="1">
      <c r="A949" s="34"/>
      <c r="B949" s="34"/>
      <c r="C949" s="34"/>
      <c r="D949" s="34"/>
      <c r="E949" s="191"/>
      <c r="F949" s="32"/>
      <c r="G949" s="32"/>
      <c r="H949" s="32"/>
    </row>
    <row r="950" spans="1:8" s="30" customFormat="1">
      <c r="A950" s="34"/>
      <c r="B950" s="34"/>
      <c r="C950" s="34"/>
      <c r="D950" s="34"/>
      <c r="E950" s="191"/>
      <c r="F950" s="32"/>
      <c r="G950" s="32"/>
      <c r="H950" s="32"/>
    </row>
    <row r="951" spans="1:8" s="30" customFormat="1">
      <c r="A951" s="34"/>
      <c r="B951" s="34"/>
      <c r="C951" s="34"/>
      <c r="D951" s="34"/>
      <c r="E951" s="191"/>
      <c r="F951" s="32"/>
      <c r="G951" s="32"/>
      <c r="H951" s="32"/>
    </row>
    <row r="952" spans="1:8" s="30" customFormat="1">
      <c r="A952" s="34"/>
      <c r="B952" s="34"/>
      <c r="C952" s="34"/>
      <c r="D952" s="34"/>
      <c r="E952" s="191"/>
      <c r="F952" s="32"/>
      <c r="G952" s="32"/>
      <c r="H952" s="32"/>
    </row>
    <row r="953" spans="1:8" s="30" customFormat="1">
      <c r="A953" s="34"/>
      <c r="B953" s="34"/>
      <c r="C953" s="34"/>
      <c r="D953" s="34"/>
      <c r="E953" s="191"/>
      <c r="F953" s="32"/>
      <c r="G953" s="32"/>
      <c r="H953" s="32"/>
    </row>
    <row r="954" spans="1:8" s="30" customFormat="1">
      <c r="A954" s="34"/>
      <c r="B954" s="34"/>
      <c r="C954" s="34"/>
      <c r="D954" s="34"/>
      <c r="E954" s="191"/>
      <c r="F954" s="32"/>
      <c r="G954" s="32"/>
      <c r="H954" s="32"/>
    </row>
    <row r="955" spans="1:8" s="30" customFormat="1">
      <c r="A955" s="34"/>
      <c r="B955" s="34"/>
      <c r="C955" s="34"/>
      <c r="D955" s="34"/>
      <c r="E955" s="191"/>
      <c r="F955" s="32"/>
      <c r="G955" s="32"/>
      <c r="H955" s="32"/>
    </row>
    <row r="956" spans="1:8" s="30" customFormat="1">
      <c r="A956" s="34"/>
      <c r="B956" s="34"/>
      <c r="C956" s="34"/>
      <c r="D956" s="34"/>
      <c r="E956" s="191"/>
      <c r="F956" s="32"/>
      <c r="G956" s="32"/>
      <c r="H956" s="32"/>
    </row>
    <row r="957" spans="1:8" s="30" customFormat="1">
      <c r="A957" s="34"/>
      <c r="B957" s="34"/>
      <c r="C957" s="34"/>
      <c r="D957" s="34"/>
      <c r="E957" s="191"/>
      <c r="F957" s="32"/>
      <c r="G957" s="32"/>
      <c r="H957" s="32"/>
    </row>
    <row r="958" spans="1:8" s="30" customFormat="1">
      <c r="A958" s="34"/>
      <c r="B958" s="34"/>
      <c r="C958" s="34"/>
      <c r="D958" s="34"/>
      <c r="E958" s="191"/>
      <c r="F958" s="32"/>
      <c r="G958" s="32"/>
      <c r="H958" s="32"/>
    </row>
    <row r="959" spans="1:8" s="30" customFormat="1">
      <c r="A959" s="34"/>
      <c r="B959" s="34"/>
      <c r="C959" s="34"/>
      <c r="D959" s="34"/>
      <c r="E959" s="191"/>
      <c r="F959" s="32"/>
      <c r="G959" s="32"/>
      <c r="H959" s="32"/>
    </row>
    <row r="960" spans="1:8" s="30" customFormat="1">
      <c r="A960" s="34"/>
      <c r="B960" s="34"/>
      <c r="C960" s="34"/>
      <c r="D960" s="34"/>
      <c r="E960" s="191"/>
      <c r="F960" s="32"/>
      <c r="G960" s="32"/>
      <c r="H960" s="32"/>
    </row>
    <row r="961" spans="1:8" s="30" customFormat="1">
      <c r="A961" s="34"/>
      <c r="B961" s="34"/>
      <c r="C961" s="34"/>
      <c r="D961" s="34"/>
      <c r="E961" s="191"/>
      <c r="F961" s="32"/>
      <c r="G961" s="32"/>
      <c r="H961" s="32"/>
    </row>
    <row r="962" spans="1:8" s="30" customFormat="1">
      <c r="A962" s="34"/>
      <c r="B962" s="34"/>
      <c r="C962" s="34"/>
      <c r="D962" s="34"/>
      <c r="E962" s="191"/>
      <c r="F962" s="32"/>
      <c r="G962" s="32"/>
      <c r="H962" s="32"/>
    </row>
    <row r="963" spans="1:8" s="30" customFormat="1">
      <c r="A963" s="34"/>
      <c r="B963" s="34"/>
      <c r="C963" s="34"/>
      <c r="D963" s="34"/>
      <c r="E963" s="191"/>
      <c r="F963" s="32"/>
      <c r="G963" s="32"/>
      <c r="H963" s="32"/>
    </row>
    <row r="964" spans="1:8" s="30" customFormat="1">
      <c r="A964" s="34"/>
      <c r="B964" s="34"/>
      <c r="C964" s="34"/>
      <c r="D964" s="34"/>
      <c r="E964" s="191"/>
      <c r="F964" s="32"/>
      <c r="G964" s="32"/>
      <c r="H964" s="32"/>
    </row>
    <row r="965" spans="1:8" s="30" customFormat="1">
      <c r="A965" s="34"/>
      <c r="B965" s="34"/>
      <c r="C965" s="34"/>
      <c r="D965" s="34"/>
      <c r="E965" s="191"/>
      <c r="F965" s="32"/>
      <c r="G965" s="32"/>
      <c r="H965" s="32"/>
    </row>
    <row r="966" spans="1:8" s="30" customFormat="1">
      <c r="A966" s="34"/>
      <c r="B966" s="34"/>
      <c r="C966" s="34"/>
      <c r="D966" s="34"/>
      <c r="E966" s="191"/>
      <c r="F966" s="32"/>
      <c r="G966" s="32"/>
      <c r="H966" s="32"/>
    </row>
    <row r="967" spans="1:8" s="30" customFormat="1">
      <c r="A967" s="34"/>
      <c r="B967" s="34"/>
      <c r="C967" s="34"/>
      <c r="D967" s="34"/>
      <c r="E967" s="191"/>
      <c r="F967" s="32"/>
      <c r="G967" s="32"/>
      <c r="H967" s="32"/>
    </row>
    <row r="968" spans="1:8" s="30" customFormat="1">
      <c r="A968" s="34"/>
      <c r="B968" s="34"/>
      <c r="C968" s="34"/>
      <c r="D968" s="34"/>
      <c r="E968" s="191"/>
      <c r="F968" s="32"/>
      <c r="G968" s="32"/>
      <c r="H968" s="32"/>
    </row>
    <row r="969" spans="1:8" s="30" customFormat="1">
      <c r="A969" s="34"/>
      <c r="B969" s="34"/>
      <c r="C969" s="34"/>
      <c r="D969" s="34"/>
      <c r="E969" s="191"/>
      <c r="F969" s="32"/>
      <c r="G969" s="32"/>
      <c r="H969" s="32"/>
    </row>
    <row r="970" spans="1:8" s="30" customFormat="1">
      <c r="A970" s="34"/>
      <c r="B970" s="34"/>
      <c r="C970" s="34"/>
      <c r="D970" s="34"/>
      <c r="E970" s="191"/>
      <c r="F970" s="32"/>
      <c r="G970" s="32"/>
      <c r="H970" s="32"/>
    </row>
    <row r="971" spans="1:8" s="30" customFormat="1">
      <c r="A971" s="34"/>
      <c r="B971" s="34"/>
      <c r="C971" s="34"/>
      <c r="D971" s="34"/>
      <c r="E971" s="191"/>
      <c r="F971" s="32"/>
      <c r="G971" s="32"/>
      <c r="H971" s="32"/>
    </row>
    <row r="972" spans="1:8" s="30" customFormat="1">
      <c r="A972" s="34"/>
      <c r="B972" s="34"/>
      <c r="C972" s="34"/>
      <c r="D972" s="34"/>
      <c r="E972" s="191"/>
      <c r="F972" s="32"/>
      <c r="G972" s="32"/>
      <c r="H972" s="32"/>
    </row>
    <row r="973" spans="1:8" s="30" customFormat="1">
      <c r="A973" s="34"/>
      <c r="B973" s="34"/>
      <c r="C973" s="34"/>
      <c r="D973" s="34"/>
      <c r="E973" s="191"/>
      <c r="F973" s="32"/>
      <c r="G973" s="32"/>
      <c r="H973" s="32"/>
    </row>
    <row r="974" spans="1:8" s="30" customFormat="1">
      <c r="A974" s="34"/>
      <c r="B974" s="34"/>
      <c r="C974" s="34"/>
      <c r="D974" s="34"/>
      <c r="E974" s="191"/>
      <c r="F974" s="32"/>
      <c r="G974" s="32"/>
      <c r="H974" s="32"/>
    </row>
    <row r="975" spans="1:8" s="30" customFormat="1">
      <c r="A975" s="34"/>
      <c r="B975" s="34"/>
      <c r="C975" s="34"/>
      <c r="D975" s="34"/>
      <c r="E975" s="191"/>
      <c r="F975" s="32"/>
      <c r="G975" s="32"/>
      <c r="H975" s="32"/>
    </row>
    <row r="976" spans="1:8" s="30" customFormat="1">
      <c r="A976" s="34"/>
      <c r="B976" s="34"/>
      <c r="C976" s="34"/>
      <c r="D976" s="34"/>
      <c r="E976" s="191"/>
      <c r="F976" s="32"/>
      <c r="G976" s="32"/>
      <c r="H976" s="32"/>
    </row>
    <row r="977" spans="1:8" s="30" customFormat="1">
      <c r="A977" s="34"/>
      <c r="B977" s="34"/>
      <c r="C977" s="34"/>
      <c r="D977" s="34"/>
      <c r="E977" s="191"/>
      <c r="F977" s="32"/>
      <c r="G977" s="32"/>
      <c r="H977" s="32"/>
    </row>
    <row r="978" spans="1:8" s="30" customFormat="1">
      <c r="A978" s="34"/>
      <c r="B978" s="34"/>
      <c r="C978" s="34"/>
      <c r="D978" s="34"/>
      <c r="E978" s="191"/>
      <c r="F978" s="32"/>
      <c r="G978" s="32"/>
      <c r="H978" s="32"/>
    </row>
    <row r="979" spans="1:8" s="30" customFormat="1">
      <c r="A979" s="34"/>
      <c r="B979" s="34"/>
      <c r="C979" s="34"/>
      <c r="D979" s="34"/>
      <c r="E979" s="191"/>
      <c r="F979" s="32"/>
      <c r="G979" s="32"/>
      <c r="H979" s="32"/>
    </row>
    <row r="980" spans="1:8" s="30" customFormat="1">
      <c r="A980" s="34"/>
      <c r="B980" s="34"/>
      <c r="C980" s="34"/>
      <c r="D980" s="34"/>
      <c r="E980" s="191"/>
      <c r="F980" s="32"/>
      <c r="G980" s="32"/>
      <c r="H980" s="32"/>
    </row>
    <row r="981" spans="1:8" s="30" customFormat="1">
      <c r="A981" s="34"/>
      <c r="B981" s="34"/>
      <c r="C981" s="34"/>
      <c r="D981" s="34"/>
      <c r="E981" s="191"/>
      <c r="F981" s="32"/>
      <c r="G981" s="32"/>
      <c r="H981" s="32"/>
    </row>
    <row r="982" spans="1:8" s="30" customFormat="1">
      <c r="A982" s="34"/>
      <c r="B982" s="34"/>
      <c r="C982" s="34"/>
      <c r="D982" s="34"/>
      <c r="E982" s="191"/>
      <c r="F982" s="32"/>
      <c r="G982" s="32"/>
      <c r="H982" s="32"/>
    </row>
    <row r="983" spans="1:8" s="30" customFormat="1">
      <c r="A983" s="34"/>
      <c r="B983" s="34"/>
      <c r="C983" s="34"/>
      <c r="D983" s="34"/>
      <c r="E983" s="191"/>
      <c r="F983" s="32"/>
      <c r="G983" s="32"/>
      <c r="H983" s="32"/>
    </row>
    <row r="984" spans="1:8" s="30" customFormat="1">
      <c r="A984" s="34"/>
      <c r="B984" s="34"/>
      <c r="C984" s="34"/>
      <c r="D984" s="34"/>
      <c r="E984" s="191"/>
      <c r="F984" s="32"/>
      <c r="G984" s="32"/>
      <c r="H984" s="32"/>
    </row>
    <row r="985" spans="1:8" s="30" customFormat="1">
      <c r="A985" s="34"/>
      <c r="B985" s="34"/>
      <c r="C985" s="34"/>
      <c r="D985" s="34"/>
      <c r="E985" s="191"/>
      <c r="F985" s="32"/>
      <c r="G985" s="32"/>
      <c r="H985" s="32"/>
    </row>
    <row r="986" spans="1:8" s="30" customFormat="1">
      <c r="A986" s="34"/>
      <c r="B986" s="34"/>
      <c r="C986" s="34"/>
      <c r="D986" s="34"/>
      <c r="E986" s="191"/>
      <c r="F986" s="32"/>
      <c r="G986" s="32"/>
      <c r="H986" s="32"/>
    </row>
    <row r="987" spans="1:8" s="30" customFormat="1">
      <c r="A987" s="34"/>
      <c r="B987" s="34"/>
      <c r="C987" s="34"/>
      <c r="D987" s="34"/>
      <c r="E987" s="191"/>
      <c r="F987" s="32"/>
      <c r="G987" s="32"/>
      <c r="H987" s="32"/>
    </row>
    <row r="988" spans="1:8" s="30" customFormat="1">
      <c r="A988" s="34"/>
      <c r="B988" s="34"/>
      <c r="C988" s="34"/>
      <c r="D988" s="34"/>
      <c r="E988" s="191"/>
      <c r="F988" s="32"/>
      <c r="G988" s="32"/>
      <c r="H988" s="32"/>
    </row>
    <row r="989" spans="1:8" s="30" customFormat="1">
      <c r="A989" s="34"/>
      <c r="B989" s="34"/>
      <c r="C989" s="34"/>
      <c r="D989" s="34"/>
      <c r="E989" s="191"/>
      <c r="F989" s="32"/>
      <c r="G989" s="32"/>
      <c r="H989" s="32"/>
    </row>
    <row r="990" spans="1:8" s="30" customFormat="1">
      <c r="A990" s="34"/>
      <c r="B990" s="34"/>
      <c r="C990" s="34"/>
      <c r="D990" s="34"/>
      <c r="E990" s="191"/>
      <c r="F990" s="32"/>
      <c r="G990" s="32"/>
      <c r="H990" s="32"/>
    </row>
    <row r="991" spans="1:8" s="30" customFormat="1">
      <c r="A991" s="34"/>
      <c r="B991" s="34"/>
      <c r="C991" s="34"/>
      <c r="D991" s="34"/>
      <c r="E991" s="191"/>
      <c r="F991" s="32"/>
      <c r="G991" s="32"/>
      <c r="H991" s="32"/>
    </row>
    <row r="992" spans="1:8" s="30" customFormat="1">
      <c r="A992" s="34"/>
      <c r="B992" s="34"/>
      <c r="C992" s="34"/>
      <c r="D992" s="34"/>
      <c r="E992" s="191"/>
      <c r="F992" s="32"/>
      <c r="G992" s="32"/>
      <c r="H992" s="32"/>
    </row>
    <row r="993" spans="1:8" s="30" customFormat="1">
      <c r="A993" s="34"/>
      <c r="B993" s="34"/>
      <c r="C993" s="34"/>
      <c r="D993" s="34"/>
      <c r="E993" s="191"/>
      <c r="F993" s="32"/>
      <c r="G993" s="32"/>
      <c r="H993" s="32"/>
    </row>
    <row r="994" spans="1:8" s="30" customFormat="1">
      <c r="A994" s="34"/>
      <c r="B994" s="34"/>
      <c r="C994" s="34"/>
      <c r="D994" s="34"/>
      <c r="E994" s="191"/>
      <c r="F994" s="32"/>
      <c r="G994" s="32"/>
      <c r="H994" s="32"/>
    </row>
    <row r="995" spans="1:8" s="30" customFormat="1">
      <c r="A995" s="34"/>
      <c r="B995" s="34"/>
      <c r="C995" s="34"/>
      <c r="D995" s="34"/>
      <c r="E995" s="191"/>
      <c r="F995" s="32"/>
      <c r="G995" s="32"/>
      <c r="H995" s="32"/>
    </row>
    <row r="996" spans="1:8" s="30" customFormat="1">
      <c r="A996" s="34"/>
      <c r="B996" s="34"/>
      <c r="C996" s="34"/>
      <c r="D996" s="34"/>
      <c r="E996" s="191"/>
      <c r="F996" s="32"/>
      <c r="G996" s="32"/>
      <c r="H996" s="32"/>
    </row>
    <row r="997" spans="1:8" s="30" customFormat="1">
      <c r="A997" s="34"/>
      <c r="B997" s="34"/>
      <c r="C997" s="34"/>
      <c r="D997" s="34"/>
      <c r="E997" s="191"/>
      <c r="F997" s="32"/>
      <c r="G997" s="32"/>
      <c r="H997" s="32"/>
    </row>
    <row r="998" spans="1:8" s="30" customFormat="1">
      <c r="A998" s="34"/>
      <c r="B998" s="34"/>
      <c r="C998" s="34"/>
      <c r="D998" s="34"/>
      <c r="E998" s="191"/>
      <c r="F998" s="32"/>
      <c r="G998" s="32"/>
      <c r="H998" s="32"/>
    </row>
    <row r="999" spans="1:8" s="30" customFormat="1">
      <c r="A999" s="34"/>
      <c r="B999" s="34"/>
      <c r="C999" s="34"/>
      <c r="D999" s="34"/>
      <c r="E999" s="191"/>
      <c r="F999" s="32"/>
      <c r="G999" s="32"/>
      <c r="H999" s="32"/>
    </row>
    <row r="1000" spans="1:8" s="30" customFormat="1">
      <c r="A1000" s="34"/>
      <c r="B1000" s="34"/>
      <c r="C1000" s="34"/>
      <c r="D1000" s="34"/>
      <c r="E1000" s="191"/>
      <c r="F1000" s="32"/>
      <c r="G1000" s="32"/>
      <c r="H1000" s="32"/>
    </row>
    <row r="1001" spans="1:8" s="30" customFormat="1">
      <c r="A1001" s="34"/>
      <c r="B1001" s="34"/>
      <c r="C1001" s="34"/>
      <c r="D1001" s="34"/>
      <c r="E1001" s="191"/>
      <c r="F1001" s="32"/>
      <c r="G1001" s="32"/>
      <c r="H1001" s="32"/>
    </row>
    <row r="1002" spans="1:8" s="30" customFormat="1">
      <c r="A1002" s="34"/>
      <c r="B1002" s="34"/>
      <c r="C1002" s="34"/>
      <c r="D1002" s="34"/>
      <c r="E1002" s="191"/>
      <c r="F1002" s="32"/>
      <c r="G1002" s="32"/>
      <c r="H1002" s="32"/>
    </row>
    <row r="1003" spans="1:8" s="30" customFormat="1">
      <c r="A1003" s="34"/>
      <c r="B1003" s="34"/>
      <c r="C1003" s="34"/>
      <c r="D1003" s="34"/>
      <c r="E1003" s="191"/>
      <c r="F1003" s="32"/>
      <c r="G1003" s="32"/>
      <c r="H1003" s="32"/>
    </row>
    <row r="1004" spans="1:8" s="30" customFormat="1">
      <c r="A1004" s="34"/>
      <c r="B1004" s="34"/>
      <c r="C1004" s="34"/>
      <c r="D1004" s="34"/>
      <c r="E1004" s="191"/>
      <c r="F1004" s="32"/>
      <c r="G1004" s="32"/>
      <c r="H1004" s="32"/>
    </row>
    <row r="1005" spans="1:8" s="30" customFormat="1">
      <c r="A1005" s="34"/>
      <c r="B1005" s="34"/>
      <c r="C1005" s="34"/>
      <c r="D1005" s="34"/>
      <c r="E1005" s="191"/>
      <c r="F1005" s="32"/>
      <c r="G1005" s="32"/>
      <c r="H1005" s="32"/>
    </row>
    <row r="1006" spans="1:8" s="30" customFormat="1">
      <c r="A1006" s="34"/>
      <c r="B1006" s="34"/>
      <c r="C1006" s="34"/>
      <c r="D1006" s="34"/>
      <c r="E1006" s="191"/>
      <c r="F1006" s="32"/>
      <c r="G1006" s="32"/>
      <c r="H1006" s="32"/>
    </row>
    <row r="1007" spans="1:8" s="30" customFormat="1">
      <c r="A1007" s="34"/>
      <c r="B1007" s="34"/>
      <c r="C1007" s="34"/>
      <c r="D1007" s="34"/>
      <c r="E1007" s="191"/>
      <c r="F1007" s="32"/>
      <c r="G1007" s="32"/>
      <c r="H1007" s="32"/>
    </row>
    <row r="1008" spans="1:8" s="30" customFormat="1">
      <c r="A1008" s="34"/>
      <c r="B1008" s="34"/>
      <c r="C1008" s="34"/>
      <c r="D1008" s="34"/>
      <c r="E1008" s="191"/>
      <c r="F1008" s="32"/>
      <c r="G1008" s="32"/>
      <c r="H1008" s="32"/>
    </row>
    <row r="1009" spans="1:8" s="30" customFormat="1">
      <c r="A1009" s="34"/>
      <c r="B1009" s="34"/>
      <c r="C1009" s="34"/>
      <c r="D1009" s="34"/>
      <c r="E1009" s="191"/>
      <c r="F1009" s="32"/>
      <c r="G1009" s="32"/>
      <c r="H1009" s="32"/>
    </row>
    <row r="1010" spans="1:8" s="30" customFormat="1">
      <c r="A1010" s="34"/>
      <c r="B1010" s="34"/>
      <c r="C1010" s="34"/>
      <c r="D1010" s="34"/>
      <c r="E1010" s="191"/>
      <c r="F1010" s="32"/>
      <c r="G1010" s="32"/>
      <c r="H1010" s="32"/>
    </row>
    <row r="1011" spans="1:8" s="30" customFormat="1">
      <c r="A1011" s="34"/>
      <c r="B1011" s="34"/>
      <c r="C1011" s="34"/>
      <c r="D1011" s="34"/>
      <c r="E1011" s="191"/>
      <c r="F1011" s="32"/>
      <c r="G1011" s="32"/>
      <c r="H1011" s="32"/>
    </row>
    <row r="1012" spans="1:8" s="30" customFormat="1">
      <c r="A1012" s="34"/>
      <c r="B1012" s="34"/>
      <c r="C1012" s="34"/>
      <c r="D1012" s="34"/>
      <c r="E1012" s="191"/>
      <c r="F1012" s="32"/>
      <c r="G1012" s="32"/>
      <c r="H1012" s="32"/>
    </row>
    <row r="1013" spans="1:8" s="30" customFormat="1">
      <c r="A1013" s="34"/>
      <c r="B1013" s="34"/>
      <c r="C1013" s="34"/>
      <c r="D1013" s="34"/>
      <c r="E1013" s="191"/>
      <c r="F1013" s="32"/>
      <c r="G1013" s="32"/>
      <c r="H1013" s="32"/>
    </row>
    <row r="1014" spans="1:8" s="30" customFormat="1">
      <c r="A1014" s="34"/>
      <c r="B1014" s="34"/>
      <c r="C1014" s="34"/>
      <c r="D1014" s="34"/>
      <c r="E1014" s="191"/>
      <c r="F1014" s="32"/>
      <c r="G1014" s="32"/>
      <c r="H1014" s="32"/>
    </row>
    <row r="1015" spans="1:8" s="30" customFormat="1">
      <c r="A1015" s="34"/>
      <c r="B1015" s="34"/>
      <c r="C1015" s="34"/>
      <c r="D1015" s="34"/>
      <c r="E1015" s="191"/>
      <c r="F1015" s="32"/>
      <c r="G1015" s="32"/>
      <c r="H1015" s="32"/>
    </row>
    <row r="1016" spans="1:8" s="30" customFormat="1">
      <c r="A1016" s="34"/>
      <c r="B1016" s="34"/>
      <c r="C1016" s="34"/>
      <c r="D1016" s="34"/>
      <c r="E1016" s="191"/>
      <c r="F1016" s="32"/>
      <c r="G1016" s="32"/>
      <c r="H1016" s="32"/>
    </row>
    <row r="1017" spans="1:8" s="30" customFormat="1">
      <c r="A1017" s="34"/>
      <c r="B1017" s="34"/>
      <c r="C1017" s="34"/>
      <c r="D1017" s="34"/>
      <c r="E1017" s="191"/>
      <c r="F1017" s="32"/>
      <c r="G1017" s="32"/>
      <c r="H1017" s="32"/>
    </row>
    <row r="1018" spans="1:8" s="30" customFormat="1">
      <c r="A1018" s="34"/>
      <c r="B1018" s="34"/>
      <c r="C1018" s="34"/>
      <c r="D1018" s="34"/>
      <c r="E1018" s="191"/>
      <c r="F1018" s="32"/>
      <c r="G1018" s="32"/>
      <c r="H1018" s="32"/>
    </row>
    <row r="1019" spans="1:8" s="30" customFormat="1">
      <c r="A1019" s="34"/>
      <c r="B1019" s="34"/>
      <c r="C1019" s="34"/>
      <c r="D1019" s="34"/>
      <c r="E1019" s="191"/>
      <c r="F1019" s="32"/>
      <c r="G1019" s="32"/>
      <c r="H1019" s="32"/>
    </row>
    <row r="1020" spans="1:8" s="30" customFormat="1">
      <c r="A1020" s="34"/>
      <c r="B1020" s="34"/>
      <c r="C1020" s="34"/>
      <c r="D1020" s="34"/>
      <c r="E1020" s="191"/>
      <c r="F1020" s="32"/>
      <c r="G1020" s="32"/>
      <c r="H1020" s="32"/>
    </row>
    <row r="1021" spans="1:8" s="30" customFormat="1">
      <c r="A1021" s="34"/>
      <c r="B1021" s="34"/>
      <c r="C1021" s="34"/>
      <c r="D1021" s="34"/>
      <c r="E1021" s="191"/>
      <c r="F1021" s="32"/>
      <c r="G1021" s="32"/>
      <c r="H1021" s="32"/>
    </row>
    <row r="1022" spans="1:8" s="30" customFormat="1">
      <c r="A1022" s="34"/>
      <c r="B1022" s="34"/>
      <c r="C1022" s="34"/>
      <c r="D1022" s="34"/>
      <c r="E1022" s="191"/>
      <c r="F1022" s="32"/>
      <c r="G1022" s="32"/>
      <c r="H1022" s="32"/>
    </row>
    <row r="1023" spans="1:8" s="30" customFormat="1">
      <c r="A1023" s="34"/>
      <c r="B1023" s="34"/>
      <c r="C1023" s="34"/>
      <c r="D1023" s="34"/>
      <c r="E1023" s="191"/>
      <c r="F1023" s="32"/>
      <c r="G1023" s="32"/>
      <c r="H1023" s="32"/>
    </row>
    <row r="1024" spans="1:8" s="30" customFormat="1">
      <c r="A1024" s="34"/>
      <c r="B1024" s="34"/>
      <c r="C1024" s="34"/>
      <c r="D1024" s="34"/>
      <c r="E1024" s="191"/>
      <c r="F1024" s="32"/>
      <c r="G1024" s="32"/>
      <c r="H1024" s="32"/>
    </row>
    <row r="1025" spans="1:8" s="30" customFormat="1">
      <c r="A1025" s="34"/>
      <c r="B1025" s="34"/>
      <c r="C1025" s="34"/>
      <c r="D1025" s="34"/>
      <c r="E1025" s="191"/>
      <c r="F1025" s="32"/>
      <c r="G1025" s="32"/>
      <c r="H1025" s="32"/>
    </row>
    <row r="1026" spans="1:8" s="30" customFormat="1">
      <c r="A1026" s="34"/>
      <c r="B1026" s="34"/>
      <c r="C1026" s="34"/>
      <c r="D1026" s="34"/>
      <c r="E1026" s="191"/>
      <c r="F1026" s="32"/>
      <c r="G1026" s="32"/>
      <c r="H1026" s="32"/>
    </row>
    <row r="1027" spans="1:8" s="30" customFormat="1">
      <c r="A1027" s="34"/>
      <c r="B1027" s="34"/>
      <c r="C1027" s="34"/>
      <c r="D1027" s="34"/>
      <c r="E1027" s="191"/>
      <c r="F1027" s="32"/>
      <c r="G1027" s="32"/>
      <c r="H1027" s="32"/>
    </row>
    <row r="1028" spans="1:8" s="30" customFormat="1">
      <c r="A1028" s="34"/>
      <c r="B1028" s="34"/>
      <c r="C1028" s="34"/>
      <c r="D1028" s="34"/>
      <c r="E1028" s="191"/>
      <c r="F1028" s="32"/>
      <c r="G1028" s="32"/>
      <c r="H1028" s="32"/>
    </row>
    <row r="1029" spans="1:8" s="30" customFormat="1">
      <c r="A1029" s="34"/>
      <c r="B1029" s="34"/>
      <c r="C1029" s="34"/>
      <c r="D1029" s="34"/>
      <c r="E1029" s="191"/>
      <c r="F1029" s="32"/>
      <c r="G1029" s="32"/>
      <c r="H1029" s="32"/>
    </row>
    <row r="1030" spans="1:8" s="30" customFormat="1">
      <c r="A1030" s="34"/>
      <c r="B1030" s="34"/>
      <c r="C1030" s="34"/>
      <c r="D1030" s="34"/>
      <c r="E1030" s="191"/>
      <c r="F1030" s="32"/>
      <c r="G1030" s="32"/>
      <c r="H1030" s="32"/>
    </row>
    <row r="1031" spans="1:8" s="30" customFormat="1">
      <c r="A1031" s="34"/>
      <c r="B1031" s="34"/>
      <c r="C1031" s="34"/>
      <c r="D1031" s="34"/>
      <c r="E1031" s="191"/>
      <c r="F1031" s="32"/>
      <c r="G1031" s="32"/>
      <c r="H1031" s="32"/>
    </row>
    <row r="1032" spans="1:8" s="30" customFormat="1">
      <c r="A1032" s="34"/>
      <c r="B1032" s="34"/>
      <c r="C1032" s="34"/>
      <c r="D1032" s="34"/>
      <c r="E1032" s="191"/>
      <c r="F1032" s="32"/>
      <c r="G1032" s="32"/>
      <c r="H1032" s="32"/>
    </row>
    <row r="1033" spans="1:8" s="30" customFormat="1">
      <c r="A1033" s="34"/>
      <c r="B1033" s="34"/>
      <c r="C1033" s="34"/>
      <c r="D1033" s="34"/>
      <c r="E1033" s="191"/>
      <c r="F1033" s="32"/>
      <c r="G1033" s="32"/>
      <c r="H1033" s="32"/>
    </row>
    <row r="1034" spans="1:8" s="30" customFormat="1">
      <c r="A1034" s="34"/>
      <c r="B1034" s="34"/>
      <c r="C1034" s="34"/>
      <c r="D1034" s="34"/>
      <c r="E1034" s="191"/>
      <c r="F1034" s="32"/>
      <c r="G1034" s="32"/>
      <c r="H1034" s="32"/>
    </row>
    <row r="1035" spans="1:8" s="30" customFormat="1">
      <c r="A1035" s="34"/>
      <c r="B1035" s="34"/>
      <c r="C1035" s="34"/>
      <c r="D1035" s="34"/>
      <c r="E1035" s="191"/>
      <c r="F1035" s="32"/>
      <c r="G1035" s="32"/>
      <c r="H1035" s="32"/>
    </row>
    <row r="1036" spans="1:8" s="30" customFormat="1">
      <c r="A1036" s="34"/>
      <c r="B1036" s="34"/>
      <c r="C1036" s="34"/>
      <c r="D1036" s="34"/>
      <c r="E1036" s="191"/>
      <c r="F1036" s="32"/>
      <c r="G1036" s="32"/>
      <c r="H1036" s="32"/>
    </row>
    <row r="1037" spans="1:8" s="30" customFormat="1">
      <c r="A1037" s="34"/>
      <c r="B1037" s="34"/>
      <c r="C1037" s="34"/>
      <c r="D1037" s="34"/>
      <c r="E1037" s="191"/>
      <c r="F1037" s="32"/>
      <c r="G1037" s="32"/>
      <c r="H1037" s="32"/>
    </row>
    <row r="1038" spans="1:8" s="30" customFormat="1">
      <c r="A1038" s="34"/>
      <c r="B1038" s="34"/>
      <c r="C1038" s="34"/>
      <c r="D1038" s="34"/>
      <c r="E1038" s="191"/>
      <c r="F1038" s="32"/>
      <c r="G1038" s="32"/>
      <c r="H1038" s="32"/>
    </row>
    <row r="1039" spans="1:8" s="30" customFormat="1">
      <c r="A1039" s="34"/>
      <c r="B1039" s="34"/>
      <c r="C1039" s="34"/>
      <c r="D1039" s="34"/>
      <c r="E1039" s="191"/>
      <c r="F1039" s="32"/>
      <c r="G1039" s="32"/>
      <c r="H1039" s="32"/>
    </row>
    <row r="1040" spans="1:8" s="30" customFormat="1">
      <c r="A1040" s="34"/>
      <c r="B1040" s="34"/>
      <c r="C1040" s="34"/>
      <c r="D1040" s="34"/>
      <c r="E1040" s="191"/>
      <c r="F1040" s="32"/>
      <c r="G1040" s="32"/>
      <c r="H1040" s="32"/>
    </row>
    <row r="1041" spans="1:8" s="30" customFormat="1">
      <c r="A1041" s="34"/>
      <c r="B1041" s="34"/>
      <c r="C1041" s="34"/>
      <c r="D1041" s="34"/>
      <c r="E1041" s="191"/>
      <c r="F1041" s="32"/>
      <c r="G1041" s="32"/>
      <c r="H1041" s="32"/>
    </row>
    <row r="1042" spans="1:8" s="30" customFormat="1">
      <c r="A1042" s="34"/>
      <c r="B1042" s="34"/>
      <c r="C1042" s="34"/>
      <c r="D1042" s="34"/>
      <c r="E1042" s="191"/>
      <c r="F1042" s="32"/>
      <c r="G1042" s="32"/>
      <c r="H1042" s="32"/>
    </row>
    <row r="1043" spans="1:8" s="30" customFormat="1">
      <c r="A1043" s="34"/>
      <c r="B1043" s="34"/>
      <c r="C1043" s="34"/>
      <c r="D1043" s="34"/>
      <c r="E1043" s="191"/>
      <c r="F1043" s="32"/>
      <c r="G1043" s="32"/>
      <c r="H1043" s="32"/>
    </row>
    <row r="1044" spans="1:8" s="30" customFormat="1">
      <c r="A1044" s="34"/>
      <c r="B1044" s="34"/>
      <c r="C1044" s="34"/>
      <c r="D1044" s="34"/>
      <c r="E1044" s="191"/>
      <c r="F1044" s="32"/>
      <c r="G1044" s="32"/>
      <c r="H1044" s="32"/>
    </row>
    <row r="1045" spans="1:8" s="30" customFormat="1">
      <c r="A1045" s="34"/>
      <c r="B1045" s="34"/>
      <c r="C1045" s="34"/>
      <c r="D1045" s="34"/>
      <c r="E1045" s="191"/>
      <c r="F1045" s="32"/>
      <c r="G1045" s="32"/>
      <c r="H1045" s="32"/>
    </row>
    <row r="1046" spans="1:8" s="30" customFormat="1">
      <c r="A1046" s="34"/>
      <c r="B1046" s="34"/>
      <c r="C1046" s="34"/>
      <c r="D1046" s="34"/>
      <c r="E1046" s="191"/>
      <c r="F1046" s="32"/>
      <c r="G1046" s="32"/>
      <c r="H1046" s="32"/>
    </row>
    <row r="1047" spans="1:8" s="30" customFormat="1">
      <c r="A1047" s="34"/>
      <c r="B1047" s="34"/>
      <c r="C1047" s="34"/>
      <c r="D1047" s="34"/>
      <c r="E1047" s="191"/>
      <c r="F1047" s="32"/>
      <c r="G1047" s="32"/>
      <c r="H1047" s="32"/>
    </row>
    <row r="1048" spans="1:8" s="30" customFormat="1">
      <c r="A1048" s="34"/>
      <c r="B1048" s="34"/>
      <c r="C1048" s="34"/>
      <c r="D1048" s="34"/>
      <c r="E1048" s="191"/>
      <c r="F1048" s="32"/>
      <c r="G1048" s="32"/>
      <c r="H1048" s="32"/>
    </row>
    <row r="1049" spans="1:8" s="30" customFormat="1">
      <c r="A1049" s="34"/>
      <c r="B1049" s="34"/>
      <c r="C1049" s="34"/>
      <c r="D1049" s="34"/>
      <c r="E1049" s="191"/>
      <c r="F1049" s="32"/>
      <c r="G1049" s="32"/>
      <c r="H1049" s="32"/>
    </row>
    <row r="1050" spans="1:8" s="30" customFormat="1">
      <c r="A1050" s="34"/>
      <c r="B1050" s="34"/>
      <c r="C1050" s="34"/>
      <c r="D1050" s="34"/>
      <c r="E1050" s="191"/>
      <c r="F1050" s="32"/>
      <c r="G1050" s="32"/>
      <c r="H1050" s="32"/>
    </row>
    <row r="1051" spans="1:8" s="30" customFormat="1">
      <c r="A1051" s="34"/>
      <c r="B1051" s="34"/>
      <c r="C1051" s="34"/>
      <c r="D1051" s="34"/>
      <c r="E1051" s="191"/>
      <c r="F1051" s="32"/>
      <c r="G1051" s="32"/>
      <c r="H1051" s="32"/>
    </row>
    <row r="1052" spans="1:8" s="30" customFormat="1">
      <c r="A1052" s="34"/>
      <c r="B1052" s="34"/>
      <c r="C1052" s="34"/>
      <c r="D1052" s="34"/>
      <c r="E1052" s="191"/>
      <c r="F1052" s="32"/>
      <c r="G1052" s="32"/>
      <c r="H1052" s="32"/>
    </row>
    <row r="1053" spans="1:8" s="30" customFormat="1">
      <c r="A1053" s="34"/>
      <c r="B1053" s="34"/>
      <c r="C1053" s="34"/>
      <c r="D1053" s="34"/>
      <c r="E1053" s="191"/>
      <c r="F1053" s="32"/>
      <c r="G1053" s="32"/>
      <c r="H1053" s="32"/>
    </row>
    <row r="1054" spans="1:8" s="30" customFormat="1">
      <c r="A1054" s="34"/>
      <c r="B1054" s="34"/>
      <c r="C1054" s="34"/>
      <c r="D1054" s="34"/>
      <c r="E1054" s="191"/>
      <c r="F1054" s="32"/>
      <c r="G1054" s="32"/>
      <c r="H1054" s="32"/>
    </row>
    <row r="1055" spans="1:8" s="30" customFormat="1">
      <c r="A1055" s="34"/>
      <c r="B1055" s="34"/>
      <c r="C1055" s="34"/>
      <c r="D1055" s="34"/>
      <c r="E1055" s="191"/>
      <c r="F1055" s="32"/>
      <c r="G1055" s="32"/>
      <c r="H1055" s="32"/>
    </row>
    <row r="1056" spans="1:8" s="30" customFormat="1">
      <c r="A1056" s="34"/>
      <c r="B1056" s="34"/>
      <c r="C1056" s="34"/>
      <c r="D1056" s="34"/>
      <c r="E1056" s="191"/>
      <c r="F1056" s="32"/>
      <c r="G1056" s="32"/>
      <c r="H1056" s="32"/>
    </row>
    <row r="1057" spans="1:8" s="30" customFormat="1">
      <c r="A1057" s="34"/>
      <c r="B1057" s="34"/>
      <c r="C1057" s="34"/>
      <c r="D1057" s="34"/>
      <c r="E1057" s="191"/>
      <c r="F1057" s="32"/>
      <c r="G1057" s="32"/>
      <c r="H1057" s="32"/>
    </row>
    <row r="1058" spans="1:8" s="30" customFormat="1">
      <c r="A1058" s="34"/>
      <c r="B1058" s="34"/>
      <c r="C1058" s="34"/>
      <c r="D1058" s="34"/>
      <c r="E1058" s="191"/>
      <c r="F1058" s="32"/>
      <c r="G1058" s="32"/>
      <c r="H1058" s="32"/>
    </row>
    <row r="1059" spans="1:8" s="30" customFormat="1">
      <c r="A1059" s="34"/>
      <c r="B1059" s="34"/>
      <c r="C1059" s="34"/>
      <c r="D1059" s="34"/>
      <c r="E1059" s="191"/>
      <c r="F1059" s="32"/>
      <c r="G1059" s="32"/>
      <c r="H1059" s="32"/>
    </row>
    <row r="1060" spans="1:8" s="30" customFormat="1">
      <c r="A1060" s="34"/>
      <c r="B1060" s="34"/>
      <c r="C1060" s="34"/>
      <c r="D1060" s="34"/>
      <c r="E1060" s="191"/>
      <c r="F1060" s="32"/>
      <c r="G1060" s="32"/>
      <c r="H1060" s="32"/>
    </row>
    <row r="1061" spans="1:8" s="30" customFormat="1">
      <c r="A1061" s="34"/>
      <c r="B1061" s="34"/>
      <c r="C1061" s="34"/>
      <c r="D1061" s="34"/>
      <c r="E1061" s="191"/>
      <c r="F1061" s="32"/>
      <c r="G1061" s="32"/>
      <c r="H1061" s="32"/>
    </row>
    <row r="1062" spans="1:8" s="30" customFormat="1">
      <c r="A1062" s="34"/>
      <c r="B1062" s="34"/>
      <c r="C1062" s="34"/>
      <c r="D1062" s="34"/>
      <c r="E1062" s="191"/>
      <c r="F1062" s="32"/>
      <c r="G1062" s="32"/>
      <c r="H1062" s="32"/>
    </row>
    <row r="1063" spans="1:8" s="30" customFormat="1">
      <c r="A1063" s="34"/>
      <c r="B1063" s="34"/>
      <c r="C1063" s="34"/>
      <c r="D1063" s="34"/>
      <c r="E1063" s="191"/>
      <c r="F1063" s="32"/>
      <c r="G1063" s="32"/>
      <c r="H1063" s="32"/>
    </row>
    <row r="1064" spans="1:8" s="30" customFormat="1">
      <c r="A1064" s="34"/>
      <c r="B1064" s="34"/>
      <c r="C1064" s="34"/>
      <c r="D1064" s="34"/>
      <c r="E1064" s="191"/>
      <c r="F1064" s="32"/>
      <c r="G1064" s="32"/>
      <c r="H1064" s="32"/>
    </row>
    <row r="1065" spans="1:8" s="30" customFormat="1">
      <c r="A1065" s="34"/>
      <c r="B1065" s="34"/>
      <c r="C1065" s="34"/>
      <c r="D1065" s="34"/>
      <c r="E1065" s="191"/>
      <c r="F1065" s="32"/>
      <c r="G1065" s="32"/>
      <c r="H1065" s="32"/>
    </row>
    <row r="1066" spans="1:8" s="30" customFormat="1">
      <c r="A1066" s="34"/>
      <c r="B1066" s="34"/>
      <c r="C1066" s="34"/>
      <c r="D1066" s="34"/>
      <c r="E1066" s="191"/>
      <c r="F1066" s="32"/>
      <c r="G1066" s="32"/>
      <c r="H1066" s="32"/>
    </row>
    <row r="1067" spans="1:8" s="30" customFormat="1">
      <c r="A1067" s="34"/>
      <c r="B1067" s="34"/>
      <c r="C1067" s="34"/>
      <c r="D1067" s="34"/>
      <c r="E1067" s="191"/>
      <c r="F1067" s="32"/>
      <c r="G1067" s="32"/>
      <c r="H1067" s="32"/>
    </row>
    <row r="1068" spans="1:8" s="30" customFormat="1">
      <c r="A1068" s="34"/>
      <c r="B1068" s="34"/>
      <c r="C1068" s="34"/>
      <c r="D1068" s="34"/>
      <c r="E1068" s="191"/>
      <c r="F1068" s="32"/>
      <c r="G1068" s="32"/>
      <c r="H1068" s="32"/>
    </row>
    <row r="1069" spans="1:8" s="30" customFormat="1">
      <c r="A1069" s="34"/>
      <c r="B1069" s="34"/>
      <c r="C1069" s="34"/>
      <c r="D1069" s="34"/>
      <c r="E1069" s="191"/>
      <c r="F1069" s="32"/>
      <c r="G1069" s="32"/>
      <c r="H1069" s="32"/>
    </row>
    <row r="1070" spans="1:8" s="30" customFormat="1">
      <c r="A1070" s="34"/>
      <c r="B1070" s="34"/>
      <c r="C1070" s="34"/>
      <c r="D1070" s="34"/>
      <c r="E1070" s="191"/>
      <c r="F1070" s="32"/>
      <c r="G1070" s="32"/>
      <c r="H1070" s="32"/>
    </row>
    <row r="1071" spans="1:8" s="30" customFormat="1">
      <c r="A1071" s="34"/>
      <c r="B1071" s="34"/>
      <c r="C1071" s="34"/>
      <c r="D1071" s="34"/>
      <c r="E1071" s="191"/>
      <c r="F1071" s="32"/>
      <c r="G1071" s="32"/>
      <c r="H1071" s="32"/>
    </row>
    <row r="1072" spans="1:8" s="30" customFormat="1">
      <c r="A1072" s="34"/>
      <c r="B1072" s="34"/>
      <c r="C1072" s="34"/>
      <c r="D1072" s="34"/>
      <c r="E1072" s="191"/>
      <c r="F1072" s="32"/>
      <c r="G1072" s="32"/>
      <c r="H1072" s="32"/>
    </row>
    <row r="1073" spans="1:8" s="30" customFormat="1">
      <c r="A1073" s="34"/>
      <c r="B1073" s="34"/>
      <c r="C1073" s="34"/>
      <c r="D1073" s="34"/>
      <c r="E1073" s="191"/>
      <c r="F1073" s="32"/>
      <c r="G1073" s="32"/>
      <c r="H1073" s="32"/>
    </row>
    <row r="1074" spans="1:8" s="30" customFormat="1">
      <c r="A1074" s="34"/>
      <c r="B1074" s="34"/>
      <c r="C1074" s="34"/>
      <c r="D1074" s="34"/>
      <c r="E1074" s="191"/>
      <c r="F1074" s="32"/>
      <c r="G1074" s="32"/>
      <c r="H1074" s="32"/>
    </row>
    <row r="1075" spans="1:8" s="30" customFormat="1">
      <c r="A1075" s="34"/>
      <c r="B1075" s="34"/>
      <c r="C1075" s="34"/>
      <c r="D1075" s="34"/>
      <c r="E1075" s="191"/>
      <c r="F1075" s="32"/>
      <c r="G1075" s="32"/>
      <c r="H1075" s="32"/>
    </row>
    <row r="1076" spans="1:8" s="30" customFormat="1">
      <c r="A1076" s="34"/>
      <c r="B1076" s="34"/>
      <c r="C1076" s="34"/>
      <c r="D1076" s="34"/>
      <c r="E1076" s="191"/>
      <c r="F1076" s="32"/>
      <c r="G1076" s="32"/>
      <c r="H1076" s="32"/>
    </row>
    <row r="1077" spans="1:8" s="30" customFormat="1">
      <c r="A1077" s="34"/>
      <c r="B1077" s="34"/>
      <c r="C1077" s="34"/>
      <c r="D1077" s="34"/>
      <c r="E1077" s="191"/>
      <c r="F1077" s="32"/>
      <c r="G1077" s="32"/>
      <c r="H1077" s="32"/>
    </row>
    <row r="1078" spans="1:8" s="30" customFormat="1">
      <c r="A1078" s="34"/>
      <c r="B1078" s="34"/>
      <c r="C1078" s="34"/>
      <c r="D1078" s="34"/>
      <c r="E1078" s="191"/>
      <c r="F1078" s="32"/>
      <c r="G1078" s="32"/>
      <c r="H1078" s="32"/>
    </row>
    <row r="1079" spans="1:8" s="30" customFormat="1">
      <c r="A1079" s="34"/>
      <c r="B1079" s="34"/>
      <c r="C1079" s="34"/>
      <c r="D1079" s="34"/>
      <c r="E1079" s="191"/>
      <c r="F1079" s="32"/>
      <c r="G1079" s="32"/>
      <c r="H1079" s="32"/>
    </row>
    <row r="1080" spans="1:8" s="30" customFormat="1">
      <c r="A1080" s="34"/>
      <c r="B1080" s="34"/>
      <c r="C1080" s="34"/>
      <c r="D1080" s="34"/>
      <c r="E1080" s="191"/>
      <c r="F1080" s="32"/>
      <c r="G1080" s="32"/>
      <c r="H1080" s="32"/>
    </row>
    <row r="1081" spans="1:8" s="30" customFormat="1">
      <c r="A1081" s="34"/>
      <c r="B1081" s="34"/>
      <c r="C1081" s="34"/>
      <c r="D1081" s="34"/>
      <c r="E1081" s="191"/>
      <c r="F1081" s="32"/>
      <c r="G1081" s="32"/>
      <c r="H1081" s="32"/>
    </row>
    <row r="1082" spans="1:8" s="30" customFormat="1">
      <c r="A1082" s="34"/>
      <c r="B1082" s="34"/>
      <c r="C1082" s="34"/>
      <c r="D1082" s="34"/>
      <c r="E1082" s="191"/>
      <c r="F1082" s="32"/>
      <c r="G1082" s="32"/>
      <c r="H1082" s="32"/>
    </row>
    <row r="1083" spans="1:8" s="30" customFormat="1">
      <c r="A1083" s="34"/>
      <c r="B1083" s="34"/>
      <c r="C1083" s="34"/>
      <c r="D1083" s="34"/>
      <c r="E1083" s="191"/>
      <c r="F1083" s="32"/>
      <c r="G1083" s="32"/>
      <c r="H1083" s="32"/>
    </row>
    <row r="1084" spans="1:8" s="30" customFormat="1">
      <c r="A1084" s="34"/>
      <c r="B1084" s="34"/>
      <c r="C1084" s="34"/>
      <c r="D1084" s="34"/>
      <c r="E1084" s="191"/>
      <c r="F1084" s="32"/>
      <c r="G1084" s="32"/>
      <c r="H1084" s="32"/>
    </row>
    <row r="1085" spans="1:8" s="30" customFormat="1">
      <c r="A1085" s="34"/>
      <c r="B1085" s="34"/>
      <c r="C1085" s="34"/>
      <c r="D1085" s="34"/>
      <c r="E1085" s="191"/>
      <c r="F1085" s="32"/>
      <c r="G1085" s="32"/>
      <c r="H1085" s="32"/>
    </row>
    <row r="1086" spans="1:8" s="30" customFormat="1">
      <c r="A1086" s="34"/>
      <c r="B1086" s="34"/>
      <c r="C1086" s="34"/>
      <c r="D1086" s="34"/>
      <c r="E1086" s="191"/>
      <c r="F1086" s="32"/>
      <c r="G1086" s="32"/>
      <c r="H1086" s="32"/>
    </row>
    <row r="1087" spans="1:8" s="30" customFormat="1">
      <c r="A1087" s="34"/>
      <c r="B1087" s="34"/>
      <c r="C1087" s="34"/>
      <c r="D1087" s="34"/>
      <c r="E1087" s="191"/>
      <c r="F1087" s="32"/>
      <c r="G1087" s="32"/>
      <c r="H1087" s="32"/>
    </row>
    <row r="1088" spans="1:8" s="30" customFormat="1">
      <c r="A1088" s="34"/>
      <c r="B1088" s="34"/>
      <c r="C1088" s="34"/>
      <c r="D1088" s="34"/>
      <c r="E1088" s="191"/>
      <c r="F1088" s="32"/>
      <c r="G1088" s="32"/>
      <c r="H1088" s="32"/>
    </row>
    <row r="1089" spans="1:8" s="30" customFormat="1">
      <c r="A1089" s="34"/>
      <c r="B1089" s="34"/>
      <c r="C1089" s="34"/>
      <c r="D1089" s="34"/>
      <c r="E1089" s="191"/>
      <c r="F1089" s="32"/>
      <c r="G1089" s="32"/>
      <c r="H1089" s="32"/>
    </row>
    <row r="1090" spans="1:8" s="30" customFormat="1">
      <c r="A1090" s="34"/>
      <c r="B1090" s="34"/>
      <c r="C1090" s="34"/>
      <c r="D1090" s="34"/>
      <c r="E1090" s="191"/>
      <c r="F1090" s="32"/>
      <c r="G1090" s="32"/>
      <c r="H1090" s="32"/>
    </row>
    <row r="1091" spans="1:8" s="30" customFormat="1">
      <c r="A1091" s="34"/>
      <c r="B1091" s="34"/>
      <c r="C1091" s="34"/>
      <c r="D1091" s="34"/>
      <c r="E1091" s="191"/>
      <c r="F1091" s="32"/>
      <c r="G1091" s="32"/>
      <c r="H1091" s="32"/>
    </row>
    <row r="1092" spans="1:8" s="30" customFormat="1">
      <c r="A1092" s="34"/>
      <c r="B1092" s="34"/>
      <c r="C1092" s="34"/>
      <c r="D1092" s="34"/>
      <c r="E1092" s="191"/>
      <c r="F1092" s="32"/>
      <c r="G1092" s="32"/>
      <c r="H1092" s="32"/>
    </row>
    <row r="1093" spans="1:8" s="30" customFormat="1">
      <c r="A1093" s="34"/>
      <c r="B1093" s="34"/>
      <c r="C1093" s="34"/>
      <c r="D1093" s="34"/>
      <c r="E1093" s="191"/>
      <c r="F1093" s="32"/>
      <c r="G1093" s="32"/>
      <c r="H1093" s="32"/>
    </row>
    <row r="1094" spans="1:8" s="30" customFormat="1">
      <c r="A1094" s="34"/>
      <c r="B1094" s="34"/>
      <c r="C1094" s="34"/>
      <c r="D1094" s="34"/>
      <c r="E1094" s="191"/>
      <c r="F1094" s="32"/>
      <c r="G1094" s="32"/>
      <c r="H1094" s="32"/>
    </row>
    <row r="1095" spans="1:8" s="30" customFormat="1">
      <c r="A1095" s="34"/>
      <c r="B1095" s="34"/>
      <c r="C1095" s="34"/>
      <c r="D1095" s="34"/>
      <c r="E1095" s="191"/>
      <c r="F1095" s="32"/>
      <c r="G1095" s="32"/>
      <c r="H1095" s="32"/>
    </row>
    <row r="1096" spans="1:8" s="30" customFormat="1">
      <c r="A1096" s="34"/>
      <c r="B1096" s="34"/>
      <c r="C1096" s="34"/>
      <c r="D1096" s="34"/>
      <c r="E1096" s="191"/>
      <c r="F1096" s="32"/>
      <c r="G1096" s="32"/>
      <c r="H1096" s="32"/>
    </row>
    <row r="1097" spans="1:8" s="30" customFormat="1">
      <c r="A1097" s="34"/>
      <c r="B1097" s="34"/>
      <c r="C1097" s="34"/>
      <c r="D1097" s="34"/>
      <c r="E1097" s="191"/>
      <c r="F1097" s="32"/>
      <c r="G1097" s="32"/>
      <c r="H1097" s="32"/>
    </row>
    <row r="1098" spans="1:8" s="30" customFormat="1">
      <c r="A1098" s="34"/>
      <c r="B1098" s="34"/>
      <c r="C1098" s="34"/>
      <c r="D1098" s="34"/>
      <c r="E1098" s="191"/>
      <c r="F1098" s="32"/>
      <c r="G1098" s="32"/>
      <c r="H1098" s="32"/>
    </row>
    <row r="1099" spans="1:8" s="30" customFormat="1">
      <c r="A1099" s="34"/>
      <c r="B1099" s="34"/>
      <c r="C1099" s="34"/>
      <c r="D1099" s="34"/>
      <c r="E1099" s="191"/>
      <c r="F1099" s="32"/>
      <c r="G1099" s="32"/>
      <c r="H1099" s="32"/>
    </row>
    <row r="1100" spans="1:8" s="30" customFormat="1">
      <c r="A1100" s="34"/>
      <c r="B1100" s="34"/>
      <c r="C1100" s="34"/>
      <c r="D1100" s="34"/>
      <c r="E1100" s="191"/>
      <c r="F1100" s="32"/>
      <c r="G1100" s="32"/>
      <c r="H1100" s="32"/>
    </row>
    <row r="1101" spans="1:8" s="30" customFormat="1">
      <c r="A1101" s="34"/>
      <c r="B1101" s="34"/>
      <c r="C1101" s="34"/>
      <c r="D1101" s="34"/>
      <c r="E1101" s="191"/>
      <c r="F1101" s="32"/>
      <c r="G1101" s="32"/>
      <c r="H1101" s="32"/>
    </row>
    <row r="1102" spans="1:8" s="30" customFormat="1">
      <c r="A1102" s="34"/>
      <c r="B1102" s="34"/>
      <c r="C1102" s="34"/>
      <c r="D1102" s="34"/>
      <c r="E1102" s="191"/>
      <c r="F1102" s="32"/>
      <c r="G1102" s="32"/>
      <c r="H1102" s="32"/>
    </row>
    <row r="1103" spans="1:8" s="30" customFormat="1">
      <c r="A1103" s="34"/>
      <c r="B1103" s="34"/>
      <c r="C1103" s="34"/>
      <c r="D1103" s="34"/>
      <c r="E1103" s="191"/>
      <c r="F1103" s="32"/>
      <c r="G1103" s="32"/>
      <c r="H1103" s="32"/>
    </row>
    <row r="1104" spans="1:8" s="30" customFormat="1">
      <c r="A1104" s="34"/>
      <c r="B1104" s="34"/>
      <c r="C1104" s="34"/>
      <c r="D1104" s="34"/>
      <c r="E1104" s="191"/>
      <c r="F1104" s="32"/>
      <c r="G1104" s="32"/>
      <c r="H1104" s="32"/>
    </row>
    <row r="1105" spans="1:8" s="30" customFormat="1">
      <c r="A1105" s="34"/>
      <c r="B1105" s="34"/>
      <c r="C1105" s="34"/>
      <c r="D1105" s="34"/>
      <c r="E1105" s="191"/>
      <c r="F1105" s="32"/>
      <c r="G1105" s="32"/>
      <c r="H1105" s="32"/>
    </row>
    <row r="1106" spans="1:8" s="30" customFormat="1">
      <c r="A1106" s="34"/>
      <c r="B1106" s="34"/>
      <c r="C1106" s="34"/>
      <c r="D1106" s="34"/>
      <c r="E1106" s="191"/>
      <c r="F1106" s="32"/>
      <c r="G1106" s="32"/>
      <c r="H1106" s="32"/>
    </row>
    <row r="1107" spans="1:8" s="30" customFormat="1">
      <c r="A1107" s="34"/>
      <c r="B1107" s="34"/>
      <c r="C1107" s="34"/>
      <c r="D1107" s="34"/>
      <c r="E1107" s="191"/>
      <c r="F1107" s="32"/>
      <c r="G1107" s="32"/>
      <c r="H1107" s="32"/>
    </row>
    <row r="1108" spans="1:8" s="30" customFormat="1">
      <c r="A1108" s="34"/>
      <c r="B1108" s="34"/>
      <c r="C1108" s="34"/>
      <c r="D1108" s="34"/>
      <c r="E1108" s="191"/>
      <c r="F1108" s="32"/>
      <c r="G1108" s="32"/>
      <c r="H1108" s="32"/>
    </row>
    <row r="1109" spans="1:8" s="30" customFormat="1">
      <c r="A1109" s="34"/>
      <c r="B1109" s="34"/>
      <c r="C1109" s="34"/>
      <c r="D1109" s="34"/>
      <c r="E1109" s="191"/>
      <c r="F1109" s="32"/>
      <c r="G1109" s="32"/>
      <c r="H1109" s="32"/>
    </row>
    <row r="1110" spans="1:8" s="30" customFormat="1">
      <c r="A1110" s="34"/>
      <c r="B1110" s="34"/>
      <c r="C1110" s="34"/>
      <c r="D1110" s="34"/>
      <c r="E1110" s="191"/>
      <c r="F1110" s="32"/>
      <c r="G1110" s="32"/>
      <c r="H1110" s="32"/>
    </row>
    <row r="1111" spans="1:8" s="30" customFormat="1">
      <c r="A1111" s="34"/>
      <c r="B1111" s="34"/>
      <c r="C1111" s="34"/>
      <c r="D1111" s="34"/>
      <c r="E1111" s="191"/>
      <c r="F1111" s="32"/>
      <c r="G1111" s="32"/>
      <c r="H1111" s="32"/>
    </row>
    <row r="1112" spans="1:8" s="30" customFormat="1">
      <c r="A1112" s="34"/>
      <c r="B1112" s="34"/>
      <c r="C1112" s="34"/>
      <c r="D1112" s="34"/>
      <c r="E1112" s="191"/>
      <c r="F1112" s="32"/>
      <c r="G1112" s="32"/>
      <c r="H1112" s="32"/>
    </row>
    <row r="1113" spans="1:8" s="30" customFormat="1">
      <c r="A1113" s="34"/>
      <c r="B1113" s="34"/>
      <c r="C1113" s="34"/>
      <c r="D1113" s="34"/>
      <c r="E1113" s="191"/>
      <c r="F1113" s="32"/>
      <c r="G1113" s="32"/>
      <c r="H1113" s="32"/>
    </row>
    <row r="1114" spans="1:8" s="30" customFormat="1">
      <c r="A1114" s="34"/>
      <c r="B1114" s="34"/>
      <c r="C1114" s="34"/>
      <c r="D1114" s="34"/>
      <c r="E1114" s="191"/>
      <c r="F1114" s="32"/>
      <c r="G1114" s="32"/>
      <c r="H1114" s="32"/>
    </row>
    <row r="1115" spans="1:8" s="30" customFormat="1">
      <c r="A1115" s="34"/>
      <c r="B1115" s="34"/>
      <c r="C1115" s="34"/>
      <c r="D1115" s="34"/>
      <c r="E1115" s="191"/>
      <c r="F1115" s="32"/>
      <c r="G1115" s="32"/>
      <c r="H1115" s="32"/>
    </row>
    <row r="1116" spans="1:8" s="30" customFormat="1">
      <c r="A1116" s="34"/>
      <c r="B1116" s="34"/>
      <c r="C1116" s="34"/>
      <c r="D1116" s="34"/>
      <c r="E1116" s="191"/>
      <c r="F1116" s="32"/>
      <c r="G1116" s="32"/>
      <c r="H1116" s="32"/>
    </row>
    <row r="1117" spans="1:8" s="30" customFormat="1">
      <c r="A1117" s="34"/>
      <c r="B1117" s="34"/>
      <c r="C1117" s="34"/>
      <c r="D1117" s="34"/>
      <c r="E1117" s="191"/>
      <c r="F1117" s="32"/>
      <c r="G1117" s="32"/>
      <c r="H1117" s="32"/>
    </row>
    <row r="1118" spans="1:8" s="30" customFormat="1">
      <c r="A1118" s="34"/>
      <c r="B1118" s="34"/>
      <c r="C1118" s="34"/>
      <c r="D1118" s="34"/>
      <c r="E1118" s="191"/>
      <c r="F1118" s="32"/>
      <c r="G1118" s="32"/>
      <c r="H1118" s="32"/>
    </row>
    <row r="1119" spans="1:8" s="30" customFormat="1">
      <c r="A1119" s="34"/>
      <c r="B1119" s="34"/>
      <c r="C1119" s="34"/>
      <c r="D1119" s="34"/>
      <c r="E1119" s="191"/>
      <c r="F1119" s="32"/>
      <c r="G1119" s="32"/>
      <c r="H1119" s="32"/>
    </row>
    <row r="1120" spans="1:8" s="30" customFormat="1">
      <c r="A1120" s="34"/>
      <c r="B1120" s="34"/>
      <c r="C1120" s="34"/>
      <c r="D1120" s="34"/>
      <c r="E1120" s="191"/>
      <c r="F1120" s="32"/>
      <c r="G1120" s="32"/>
      <c r="H1120" s="32"/>
    </row>
    <row r="1121" spans="1:8" s="30" customFormat="1">
      <c r="A1121" s="34"/>
      <c r="B1121" s="34"/>
      <c r="C1121" s="34"/>
      <c r="D1121" s="34"/>
      <c r="E1121" s="191"/>
      <c r="F1121" s="32"/>
      <c r="G1121" s="32"/>
      <c r="H1121" s="32"/>
    </row>
    <row r="1122" spans="1:8" s="30" customFormat="1">
      <c r="A1122" s="34"/>
      <c r="B1122" s="34"/>
      <c r="C1122" s="34"/>
      <c r="D1122" s="34"/>
      <c r="E1122" s="191"/>
      <c r="F1122" s="32"/>
      <c r="G1122" s="32"/>
      <c r="H1122" s="32"/>
    </row>
    <row r="1123" spans="1:8" s="30" customFormat="1">
      <c r="A1123" s="34"/>
      <c r="B1123" s="34"/>
      <c r="C1123" s="34"/>
      <c r="D1123" s="34"/>
      <c r="E1123" s="191"/>
      <c r="F1123" s="32"/>
      <c r="G1123" s="32"/>
      <c r="H1123" s="32"/>
    </row>
    <row r="1124" spans="1:8" s="30" customFormat="1">
      <c r="A1124" s="34"/>
      <c r="B1124" s="34"/>
      <c r="C1124" s="34"/>
      <c r="D1124" s="34"/>
      <c r="E1124" s="191"/>
      <c r="F1124" s="32"/>
      <c r="G1124" s="32"/>
      <c r="H1124" s="32"/>
    </row>
    <row r="1125" spans="1:8" s="30" customFormat="1">
      <c r="A1125" s="34"/>
      <c r="B1125" s="34"/>
      <c r="C1125" s="34"/>
      <c r="D1125" s="34"/>
      <c r="E1125" s="191"/>
      <c r="F1125" s="32"/>
      <c r="G1125" s="32"/>
      <c r="H1125" s="32"/>
    </row>
    <row r="1126" spans="1:8" s="30" customFormat="1">
      <c r="A1126" s="34"/>
      <c r="B1126" s="34"/>
      <c r="C1126" s="34"/>
      <c r="D1126" s="34"/>
      <c r="E1126" s="191"/>
      <c r="F1126" s="32"/>
      <c r="G1126" s="32"/>
      <c r="H1126" s="32"/>
    </row>
    <row r="1127" spans="1:8" s="30" customFormat="1">
      <c r="A1127" s="34"/>
      <c r="B1127" s="34"/>
      <c r="C1127" s="34"/>
      <c r="D1127" s="34"/>
      <c r="E1127" s="191"/>
      <c r="F1127" s="32"/>
      <c r="G1127" s="32"/>
      <c r="H1127" s="32"/>
    </row>
    <row r="1128" spans="1:8" s="30" customFormat="1">
      <c r="A1128" s="34"/>
      <c r="B1128" s="34"/>
      <c r="C1128" s="34"/>
      <c r="D1128" s="34"/>
      <c r="E1128" s="191"/>
      <c r="F1128" s="32"/>
      <c r="G1128" s="32"/>
      <c r="H1128" s="32"/>
    </row>
    <row r="1129" spans="1:8" s="30" customFormat="1">
      <c r="A1129" s="34"/>
      <c r="B1129" s="34"/>
      <c r="C1129" s="34"/>
      <c r="D1129" s="34"/>
      <c r="E1129" s="191"/>
      <c r="F1129" s="32"/>
      <c r="G1129" s="32"/>
      <c r="H1129" s="32"/>
    </row>
    <row r="1130" spans="1:8" s="30" customFormat="1">
      <c r="A1130" s="34"/>
      <c r="B1130" s="34"/>
      <c r="C1130" s="34"/>
      <c r="D1130" s="34"/>
      <c r="E1130" s="191"/>
      <c r="F1130" s="32"/>
      <c r="G1130" s="32"/>
      <c r="H1130" s="32"/>
    </row>
    <row r="1131" spans="1:8" s="30" customFormat="1">
      <c r="A1131" s="34"/>
      <c r="B1131" s="34"/>
      <c r="C1131" s="34"/>
      <c r="D1131" s="34"/>
      <c r="E1131" s="191"/>
      <c r="F1131" s="32"/>
      <c r="G1131" s="32"/>
      <c r="H1131" s="32"/>
    </row>
    <row r="1132" spans="1:8" s="30" customFormat="1">
      <c r="A1132" s="34"/>
      <c r="B1132" s="34"/>
      <c r="C1132" s="34"/>
      <c r="D1132" s="34"/>
      <c r="E1132" s="191"/>
      <c r="F1132" s="32"/>
      <c r="G1132" s="32"/>
      <c r="H1132" s="32"/>
    </row>
    <row r="1133" spans="1:8" s="30" customFormat="1">
      <c r="A1133" s="34"/>
      <c r="B1133" s="34"/>
      <c r="C1133" s="34"/>
      <c r="D1133" s="34"/>
      <c r="E1133" s="191"/>
      <c r="F1133" s="32"/>
      <c r="G1133" s="32"/>
      <c r="H1133" s="32"/>
    </row>
    <row r="1134" spans="1:8" s="30" customFormat="1">
      <c r="A1134" s="34"/>
      <c r="B1134" s="34"/>
      <c r="C1134" s="34"/>
      <c r="D1134" s="34"/>
      <c r="E1134" s="191"/>
      <c r="F1134" s="32"/>
      <c r="G1134" s="32"/>
      <c r="H1134" s="32"/>
    </row>
    <row r="1135" spans="1:8" s="30" customFormat="1">
      <c r="A1135" s="34"/>
      <c r="B1135" s="34"/>
      <c r="C1135" s="34"/>
      <c r="D1135" s="34"/>
      <c r="E1135" s="191"/>
      <c r="F1135" s="32"/>
      <c r="G1135" s="32"/>
      <c r="H1135" s="32"/>
    </row>
    <row r="1136" spans="1:8" s="30" customFormat="1">
      <c r="A1136" s="34"/>
      <c r="B1136" s="34"/>
      <c r="C1136" s="34"/>
      <c r="D1136" s="34"/>
      <c r="E1136" s="191"/>
      <c r="F1136" s="32"/>
      <c r="G1136" s="32"/>
      <c r="H1136" s="32"/>
    </row>
    <row r="1137" spans="1:8" s="30" customFormat="1">
      <c r="A1137" s="34"/>
      <c r="B1137" s="34"/>
      <c r="C1137" s="34"/>
      <c r="D1137" s="34"/>
      <c r="E1137" s="191"/>
      <c r="F1137" s="32"/>
      <c r="G1137" s="32"/>
      <c r="H1137" s="32"/>
    </row>
    <row r="1138" spans="1:8" s="30" customFormat="1">
      <c r="A1138" s="34"/>
      <c r="B1138" s="34"/>
      <c r="C1138" s="34"/>
      <c r="D1138" s="34"/>
      <c r="E1138" s="191"/>
      <c r="F1138" s="32"/>
      <c r="G1138" s="32"/>
      <c r="H1138" s="32"/>
    </row>
    <row r="1139" spans="1:8" s="30" customFormat="1">
      <c r="A1139" s="34"/>
      <c r="B1139" s="34"/>
      <c r="C1139" s="34"/>
      <c r="D1139" s="34"/>
      <c r="E1139" s="191"/>
      <c r="F1139" s="32"/>
      <c r="G1139" s="32"/>
      <c r="H1139" s="32"/>
    </row>
    <row r="1140" spans="1:8" s="30" customFormat="1">
      <c r="A1140" s="34"/>
      <c r="B1140" s="34"/>
      <c r="C1140" s="34"/>
      <c r="D1140" s="34"/>
      <c r="E1140" s="191"/>
      <c r="F1140" s="32"/>
      <c r="G1140" s="32"/>
      <c r="H1140" s="32"/>
    </row>
    <row r="1141" spans="1:8" s="30" customFormat="1">
      <c r="A1141" s="34"/>
      <c r="B1141" s="34"/>
      <c r="C1141" s="34"/>
      <c r="D1141" s="34"/>
      <c r="E1141" s="191"/>
      <c r="F1141" s="32"/>
      <c r="G1141" s="32"/>
      <c r="H1141" s="32"/>
    </row>
    <row r="1142" spans="1:8" s="30" customFormat="1">
      <c r="A1142" s="34"/>
      <c r="B1142" s="34"/>
      <c r="C1142" s="34"/>
      <c r="D1142" s="34"/>
      <c r="E1142" s="191"/>
      <c r="F1142" s="32"/>
      <c r="G1142" s="32"/>
      <c r="H1142" s="32"/>
    </row>
    <row r="1143" spans="1:8" s="30" customFormat="1">
      <c r="A1143" s="34"/>
      <c r="B1143" s="34"/>
      <c r="C1143" s="34"/>
      <c r="D1143" s="34"/>
      <c r="E1143" s="191"/>
      <c r="F1143" s="32"/>
      <c r="G1143" s="32"/>
      <c r="H1143" s="32"/>
    </row>
    <row r="1144" spans="1:8" s="30" customFormat="1">
      <c r="A1144" s="34"/>
      <c r="B1144" s="34"/>
      <c r="C1144" s="34"/>
      <c r="D1144" s="34"/>
      <c r="E1144" s="191"/>
      <c r="F1144" s="32"/>
      <c r="G1144" s="32"/>
      <c r="H1144" s="32"/>
    </row>
    <row r="1145" spans="1:8" s="30" customFormat="1">
      <c r="A1145" s="34"/>
      <c r="B1145" s="34"/>
      <c r="C1145" s="34"/>
      <c r="D1145" s="34"/>
      <c r="E1145" s="191"/>
      <c r="F1145" s="32"/>
      <c r="G1145" s="32"/>
      <c r="H1145" s="32"/>
    </row>
    <row r="1146" spans="1:8" s="30" customFormat="1">
      <c r="A1146" s="34"/>
      <c r="B1146" s="34"/>
      <c r="C1146" s="34"/>
      <c r="D1146" s="34"/>
      <c r="E1146" s="191"/>
      <c r="F1146" s="32"/>
      <c r="G1146" s="32"/>
      <c r="H1146" s="32"/>
    </row>
    <row r="1147" spans="1:8" s="30" customFormat="1">
      <c r="A1147" s="34"/>
      <c r="B1147" s="34"/>
      <c r="C1147" s="34"/>
      <c r="D1147" s="34"/>
      <c r="E1147" s="191"/>
      <c r="F1147" s="32"/>
      <c r="G1147" s="32"/>
      <c r="H1147" s="32"/>
    </row>
    <row r="1148" spans="1:8" s="30" customFormat="1">
      <c r="A1148" s="34"/>
      <c r="B1148" s="34"/>
      <c r="C1148" s="34"/>
      <c r="D1148" s="34"/>
      <c r="E1148" s="191"/>
      <c r="F1148" s="32"/>
      <c r="G1148" s="32"/>
      <c r="H1148" s="32"/>
    </row>
    <row r="1149" spans="1:8" s="30" customFormat="1">
      <c r="A1149" s="34"/>
      <c r="B1149" s="34"/>
      <c r="C1149" s="34"/>
      <c r="D1149" s="34"/>
      <c r="E1149" s="191"/>
      <c r="F1149" s="32"/>
      <c r="G1149" s="32"/>
      <c r="H1149" s="32"/>
    </row>
    <row r="1150" spans="1:8" s="30" customFormat="1">
      <c r="A1150" s="34"/>
      <c r="B1150" s="34"/>
      <c r="C1150" s="34"/>
      <c r="D1150" s="34"/>
      <c r="E1150" s="191"/>
      <c r="F1150" s="32"/>
      <c r="G1150" s="32"/>
      <c r="H1150" s="32"/>
    </row>
    <row r="1151" spans="1:8" s="30" customFormat="1">
      <c r="A1151" s="34"/>
      <c r="B1151" s="34"/>
      <c r="C1151" s="34"/>
      <c r="D1151" s="34"/>
      <c r="E1151" s="191"/>
      <c r="F1151" s="32"/>
      <c r="G1151" s="32"/>
      <c r="H1151" s="32"/>
    </row>
    <row r="1152" spans="1:8" s="30" customFormat="1">
      <c r="A1152" s="34"/>
      <c r="B1152" s="34"/>
      <c r="C1152" s="34"/>
      <c r="D1152" s="34"/>
      <c r="E1152" s="191"/>
      <c r="F1152" s="32"/>
      <c r="G1152" s="32"/>
      <c r="H1152" s="32"/>
    </row>
    <row r="1153" spans="1:8" s="30" customFormat="1">
      <c r="A1153" s="34"/>
      <c r="B1153" s="34"/>
      <c r="C1153" s="34"/>
      <c r="D1153" s="34"/>
      <c r="E1153" s="191"/>
      <c r="F1153" s="32"/>
      <c r="G1153" s="32"/>
      <c r="H1153" s="32"/>
    </row>
    <row r="1154" spans="1:8" s="30" customFormat="1">
      <c r="A1154" s="34"/>
      <c r="B1154" s="34"/>
      <c r="C1154" s="34"/>
      <c r="D1154" s="34"/>
      <c r="E1154" s="191"/>
      <c r="F1154" s="32"/>
      <c r="G1154" s="32"/>
      <c r="H1154" s="32"/>
    </row>
    <row r="1155" spans="1:8" s="30" customFormat="1">
      <c r="A1155" s="34"/>
      <c r="B1155" s="34"/>
      <c r="C1155" s="34"/>
      <c r="D1155" s="34"/>
      <c r="E1155" s="191"/>
      <c r="F1155" s="32"/>
      <c r="G1155" s="32"/>
      <c r="H1155" s="32"/>
    </row>
    <row r="1156" spans="1:8" s="30" customFormat="1">
      <c r="A1156" s="34"/>
      <c r="B1156" s="34"/>
      <c r="C1156" s="34"/>
      <c r="D1156" s="34"/>
      <c r="E1156" s="191"/>
      <c r="F1156" s="32"/>
      <c r="G1156" s="32"/>
      <c r="H1156" s="32"/>
    </row>
    <row r="1157" spans="1:8" s="30" customFormat="1">
      <c r="A1157" s="34"/>
      <c r="B1157" s="34"/>
      <c r="C1157" s="34"/>
      <c r="D1157" s="34"/>
      <c r="E1157" s="191"/>
      <c r="F1157" s="32"/>
      <c r="G1157" s="32"/>
      <c r="H1157" s="32"/>
    </row>
    <row r="1158" spans="1:8" s="30" customFormat="1">
      <c r="A1158" s="34"/>
      <c r="B1158" s="34"/>
      <c r="C1158" s="34"/>
      <c r="D1158" s="34"/>
      <c r="E1158" s="191"/>
      <c r="F1158" s="32"/>
      <c r="G1158" s="32"/>
      <c r="H1158" s="32"/>
    </row>
    <row r="1159" spans="1:8" s="30" customFormat="1">
      <c r="A1159" s="34"/>
      <c r="B1159" s="34"/>
      <c r="C1159" s="34"/>
      <c r="D1159" s="34"/>
      <c r="E1159" s="191"/>
      <c r="F1159" s="32"/>
      <c r="G1159" s="32"/>
      <c r="H1159" s="32"/>
    </row>
    <row r="1160" spans="1:8" s="30" customFormat="1">
      <c r="A1160" s="34"/>
      <c r="B1160" s="34"/>
      <c r="C1160" s="34"/>
      <c r="D1160" s="34"/>
      <c r="E1160" s="191"/>
      <c r="F1160" s="32"/>
      <c r="G1160" s="32"/>
      <c r="H1160" s="32"/>
    </row>
    <row r="1161" spans="1:8" s="30" customFormat="1">
      <c r="A1161" s="34"/>
      <c r="B1161" s="34"/>
      <c r="C1161" s="34"/>
      <c r="D1161" s="34"/>
      <c r="E1161" s="191"/>
      <c r="F1161" s="32"/>
      <c r="G1161" s="32"/>
      <c r="H1161" s="32"/>
    </row>
    <row r="1162" spans="1:8" s="30" customFormat="1">
      <c r="A1162" s="34"/>
      <c r="B1162" s="34"/>
      <c r="C1162" s="34"/>
      <c r="D1162" s="34"/>
      <c r="E1162" s="191"/>
      <c r="F1162" s="32"/>
      <c r="G1162" s="32"/>
      <c r="H1162" s="32"/>
    </row>
    <row r="1163" spans="1:8" s="30" customFormat="1">
      <c r="A1163" s="34"/>
      <c r="B1163" s="34"/>
      <c r="C1163" s="34"/>
      <c r="D1163" s="34"/>
      <c r="E1163" s="191"/>
      <c r="F1163" s="32"/>
      <c r="G1163" s="32"/>
      <c r="H1163" s="32"/>
    </row>
    <row r="1164" spans="1:8" s="30" customFormat="1">
      <c r="A1164" s="34"/>
      <c r="B1164" s="34"/>
      <c r="C1164" s="34"/>
      <c r="D1164" s="34"/>
      <c r="E1164" s="191"/>
      <c r="F1164" s="32"/>
      <c r="G1164" s="32"/>
      <c r="H1164" s="32"/>
    </row>
    <row r="1165" spans="1:8" s="30" customFormat="1">
      <c r="A1165" s="34"/>
      <c r="B1165" s="34"/>
      <c r="C1165" s="34"/>
      <c r="D1165" s="34"/>
      <c r="E1165" s="191"/>
      <c r="F1165" s="32"/>
      <c r="G1165" s="32"/>
      <c r="H1165" s="32"/>
    </row>
    <row r="1166" spans="1:8" s="30" customFormat="1">
      <c r="A1166" s="34"/>
      <c r="B1166" s="34"/>
      <c r="C1166" s="34"/>
      <c r="D1166" s="34"/>
      <c r="E1166" s="191"/>
      <c r="F1166" s="32"/>
      <c r="G1166" s="32"/>
      <c r="H1166" s="32"/>
    </row>
    <row r="1167" spans="1:8" s="30" customFormat="1">
      <c r="A1167" s="34"/>
      <c r="B1167" s="34"/>
      <c r="C1167" s="34"/>
      <c r="D1167" s="34"/>
      <c r="E1167" s="191"/>
      <c r="F1167" s="32"/>
      <c r="G1167" s="32"/>
      <c r="H1167" s="32"/>
    </row>
    <row r="1168" spans="1:8" s="30" customFormat="1">
      <c r="A1168" s="34"/>
      <c r="B1168" s="34"/>
      <c r="C1168" s="34"/>
      <c r="D1168" s="34"/>
      <c r="E1168" s="191"/>
      <c r="F1168" s="32"/>
      <c r="G1168" s="32"/>
      <c r="H1168" s="32"/>
    </row>
    <row r="1169" spans="1:8" s="30" customFormat="1">
      <c r="A1169" s="34"/>
      <c r="B1169" s="34"/>
      <c r="C1169" s="34"/>
      <c r="D1169" s="34"/>
      <c r="E1169" s="191"/>
      <c r="F1169" s="32"/>
      <c r="G1169" s="32"/>
      <c r="H1169" s="32"/>
    </row>
    <row r="1170" spans="1:8" s="30" customFormat="1">
      <c r="A1170" s="34"/>
      <c r="B1170" s="34"/>
      <c r="C1170" s="34"/>
      <c r="D1170" s="34"/>
      <c r="E1170" s="191"/>
      <c r="F1170" s="32"/>
      <c r="G1170" s="32"/>
      <c r="H1170" s="32"/>
    </row>
    <row r="1171" spans="1:8" s="30" customFormat="1">
      <c r="A1171" s="34"/>
      <c r="B1171" s="34"/>
      <c r="C1171" s="34"/>
      <c r="D1171" s="34"/>
      <c r="E1171" s="191"/>
      <c r="F1171" s="32"/>
      <c r="G1171" s="32"/>
      <c r="H1171" s="32"/>
    </row>
    <row r="1172" spans="1:8" s="30" customFormat="1">
      <c r="A1172" s="34"/>
      <c r="B1172" s="34"/>
      <c r="C1172" s="34"/>
      <c r="D1172" s="34"/>
      <c r="E1172" s="191"/>
      <c r="F1172" s="32"/>
      <c r="G1172" s="32"/>
      <c r="H1172" s="32"/>
    </row>
    <row r="1173" spans="1:8" s="30" customFormat="1">
      <c r="A1173" s="34"/>
      <c r="B1173" s="34"/>
      <c r="C1173" s="34"/>
      <c r="D1173" s="34"/>
      <c r="E1173" s="191"/>
      <c r="F1173" s="32"/>
      <c r="G1173" s="32"/>
      <c r="H1173" s="32"/>
    </row>
    <row r="1174" spans="1:8" s="30" customFormat="1">
      <c r="A1174" s="34"/>
      <c r="B1174" s="34"/>
      <c r="C1174" s="34"/>
      <c r="D1174" s="34"/>
      <c r="E1174" s="191"/>
      <c r="F1174" s="32"/>
      <c r="G1174" s="32"/>
      <c r="H1174" s="32"/>
    </row>
    <row r="1175" spans="1:8" s="30" customFormat="1">
      <c r="A1175" s="34"/>
      <c r="B1175" s="34"/>
      <c r="C1175" s="34"/>
      <c r="D1175" s="34"/>
      <c r="E1175" s="191"/>
      <c r="F1175" s="32"/>
      <c r="G1175" s="32"/>
      <c r="H1175" s="32"/>
    </row>
    <row r="1176" spans="1:8" s="30" customFormat="1">
      <c r="A1176" s="34"/>
      <c r="B1176" s="34"/>
      <c r="C1176" s="34"/>
      <c r="D1176" s="34"/>
      <c r="E1176" s="191"/>
      <c r="F1176" s="32"/>
      <c r="G1176" s="32"/>
      <c r="H1176" s="32"/>
    </row>
    <row r="1177" spans="1:8" s="30" customFormat="1">
      <c r="A1177" s="34"/>
      <c r="B1177" s="34"/>
      <c r="C1177" s="34"/>
      <c r="D1177" s="34"/>
      <c r="E1177" s="191"/>
      <c r="F1177" s="32"/>
      <c r="G1177" s="32"/>
      <c r="H1177" s="32"/>
    </row>
    <row r="1178" spans="1:8" s="30" customFormat="1">
      <c r="A1178" s="34"/>
      <c r="B1178" s="34"/>
      <c r="C1178" s="34"/>
      <c r="D1178" s="34"/>
      <c r="E1178" s="191"/>
      <c r="F1178" s="32"/>
      <c r="G1178" s="32"/>
      <c r="H1178" s="32"/>
    </row>
    <row r="1179" spans="1:8" s="30" customFormat="1">
      <c r="A1179" s="34"/>
      <c r="B1179" s="34"/>
      <c r="C1179" s="34"/>
      <c r="D1179" s="34"/>
      <c r="E1179" s="191"/>
      <c r="F1179" s="32"/>
      <c r="G1179" s="32"/>
      <c r="H1179" s="32"/>
    </row>
    <row r="1180" spans="1:8" s="30" customFormat="1">
      <c r="A1180" s="34"/>
      <c r="B1180" s="34"/>
      <c r="C1180" s="34"/>
      <c r="D1180" s="34"/>
      <c r="E1180" s="191"/>
      <c r="F1180" s="32"/>
      <c r="G1180" s="32"/>
      <c r="H1180" s="32"/>
    </row>
    <row r="1181" spans="1:8" s="30" customFormat="1">
      <c r="A1181" s="34"/>
      <c r="B1181" s="34"/>
      <c r="C1181" s="34"/>
      <c r="D1181" s="34"/>
      <c r="E1181" s="191"/>
      <c r="F1181" s="32"/>
      <c r="G1181" s="32"/>
      <c r="H1181" s="32"/>
    </row>
    <row r="1182" spans="1:8" s="30" customFormat="1">
      <c r="A1182" s="34"/>
      <c r="B1182" s="34"/>
      <c r="C1182" s="34"/>
      <c r="D1182" s="34"/>
      <c r="E1182" s="191"/>
      <c r="F1182" s="32"/>
      <c r="G1182" s="32"/>
      <c r="H1182" s="32"/>
    </row>
    <row r="1183" spans="1:8">
      <c r="A1183" s="34"/>
      <c r="B1183" s="34"/>
      <c r="C1183" s="34"/>
      <c r="D1183" s="34"/>
    </row>
    <row r="1184" spans="1:8">
      <c r="A1184" s="34"/>
      <c r="B1184" s="34"/>
      <c r="C1184" s="34"/>
      <c r="D1184" s="34"/>
    </row>
    <row r="1185" spans="1:4">
      <c r="A1185" s="34"/>
      <c r="B1185" s="34"/>
      <c r="C1185" s="34"/>
      <c r="D1185" s="34"/>
    </row>
    <row r="1186" spans="1:4">
      <c r="A1186" s="34"/>
      <c r="B1186" s="34"/>
      <c r="C1186" s="34"/>
      <c r="D1186" s="34"/>
    </row>
    <row r="1187" spans="1:4">
      <c r="A1187" s="34"/>
      <c r="B1187" s="34"/>
      <c r="C1187" s="34"/>
      <c r="D1187" s="34"/>
    </row>
    <row r="1188" spans="1:4">
      <c r="A1188" s="34"/>
      <c r="B1188" s="34"/>
      <c r="C1188" s="34"/>
      <c r="D1188" s="34"/>
    </row>
    <row r="1189" spans="1:4">
      <c r="A1189" s="34"/>
      <c r="B1189" s="34"/>
      <c r="C1189" s="34"/>
      <c r="D1189" s="34"/>
    </row>
    <row r="1190" spans="1:4">
      <c r="B1190" s="34"/>
      <c r="C1190" s="34"/>
      <c r="D1190" s="34"/>
    </row>
    <row r="1191" spans="1:4">
      <c r="B1191" s="34"/>
      <c r="C1191" s="34"/>
      <c r="D1191" s="34"/>
    </row>
    <row r="1192" spans="1:4">
      <c r="B1192" s="34"/>
      <c r="C1192" s="34"/>
      <c r="D1192" s="34"/>
    </row>
    <row r="1193" spans="1:4">
      <c r="B1193" s="34"/>
      <c r="C1193" s="34"/>
      <c r="D1193" s="34"/>
    </row>
  </sheetData>
  <mergeCells count="288">
    <mergeCell ref="B540:B543"/>
    <mergeCell ref="C444:C445"/>
    <mergeCell ref="B409:C409"/>
    <mergeCell ref="B413:C413"/>
    <mergeCell ref="B414:C414"/>
    <mergeCell ref="B389:C389"/>
    <mergeCell ref="B391:C391"/>
    <mergeCell ref="B393:C393"/>
    <mergeCell ref="B459:C459"/>
    <mergeCell ref="B407:C407"/>
    <mergeCell ref="B423:C423"/>
    <mergeCell ref="B417:C417"/>
    <mergeCell ref="B418:C418"/>
    <mergeCell ref="B422:C422"/>
    <mergeCell ref="B442:C442"/>
    <mergeCell ref="B446:C446"/>
    <mergeCell ref="B448:C448"/>
    <mergeCell ref="C449:C455"/>
    <mergeCell ref="B429:C429"/>
    <mergeCell ref="B431:C431"/>
    <mergeCell ref="B435:C435"/>
    <mergeCell ref="B437:C437"/>
    <mergeCell ref="D398:D400"/>
    <mergeCell ref="D165:D166"/>
    <mergeCell ref="D168:D169"/>
    <mergeCell ref="D163:D164"/>
    <mergeCell ref="C233:C234"/>
    <mergeCell ref="B209:B211"/>
    <mergeCell ref="D247:D249"/>
    <mergeCell ref="B326:B328"/>
    <mergeCell ref="D254:D255"/>
    <mergeCell ref="D256:D258"/>
    <mergeCell ref="B298:C298"/>
    <mergeCell ref="B307:C307"/>
    <mergeCell ref="B309:C309"/>
    <mergeCell ref="B311:C311"/>
    <mergeCell ref="B313:C313"/>
    <mergeCell ref="B288:C288"/>
    <mergeCell ref="B290:C290"/>
    <mergeCell ref="D236:D238"/>
    <mergeCell ref="C250:C251"/>
    <mergeCell ref="B208:C208"/>
    <mergeCell ref="B225:C225"/>
    <mergeCell ref="B227:C227"/>
    <mergeCell ref="B229:C229"/>
    <mergeCell ref="B252:C252"/>
    <mergeCell ref="D369:D372"/>
    <mergeCell ref="D293:D294"/>
    <mergeCell ref="B339:C339"/>
    <mergeCell ref="B340:B343"/>
    <mergeCell ref="B344:C344"/>
    <mergeCell ref="B333:C333"/>
    <mergeCell ref="B329:C329"/>
    <mergeCell ref="B348:C348"/>
    <mergeCell ref="B349:B350"/>
    <mergeCell ref="B325:C325"/>
    <mergeCell ref="D321:D322"/>
    <mergeCell ref="B335:C335"/>
    <mergeCell ref="B303:B304"/>
    <mergeCell ref="D365:D368"/>
    <mergeCell ref="B319:C319"/>
    <mergeCell ref="C293:C294"/>
    <mergeCell ref="B35:B38"/>
    <mergeCell ref="B19:C19"/>
    <mergeCell ref="B21:C21"/>
    <mergeCell ref="B25:C25"/>
    <mergeCell ref="B27:C27"/>
    <mergeCell ref="B31:C31"/>
    <mergeCell ref="B8:C8"/>
    <mergeCell ref="B9:B12"/>
    <mergeCell ref="C9:C12"/>
    <mergeCell ref="B13:C13"/>
    <mergeCell ref="B16:C16"/>
    <mergeCell ref="B17:B18"/>
    <mergeCell ref="B22:B24"/>
    <mergeCell ref="B29:B30"/>
    <mergeCell ref="D135:D136"/>
    <mergeCell ref="B124:C124"/>
    <mergeCell ref="D161:D162"/>
    <mergeCell ref="B167:C167"/>
    <mergeCell ref="B172:C172"/>
    <mergeCell ref="B175:C175"/>
    <mergeCell ref="D58:D59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3:A39"/>
    <mergeCell ref="B34:C34"/>
    <mergeCell ref="B39:C39"/>
    <mergeCell ref="A41:A45"/>
    <mergeCell ref="B42:C42"/>
    <mergeCell ref="B45:C45"/>
    <mergeCell ref="A47:A53"/>
    <mergeCell ref="B52:B53"/>
    <mergeCell ref="B144:C144"/>
    <mergeCell ref="B48:C48"/>
    <mergeCell ref="B49:B50"/>
    <mergeCell ref="B51:C51"/>
    <mergeCell ref="C90:C100"/>
    <mergeCell ref="B87:C87"/>
    <mergeCell ref="B56:C56"/>
    <mergeCell ref="B66:C66"/>
    <mergeCell ref="B69:C69"/>
    <mergeCell ref="B72:C72"/>
    <mergeCell ref="B89:C89"/>
    <mergeCell ref="B104:C104"/>
    <mergeCell ref="C70:C71"/>
    <mergeCell ref="B78:C78"/>
    <mergeCell ref="B80:B81"/>
    <mergeCell ref="B82:C82"/>
    <mergeCell ref="B84:C84"/>
    <mergeCell ref="B85:B86"/>
    <mergeCell ref="B115:C115"/>
    <mergeCell ref="C60:C61"/>
    <mergeCell ref="B117:B118"/>
    <mergeCell ref="B119:C119"/>
    <mergeCell ref="D245:D246"/>
    <mergeCell ref="B282:C282"/>
    <mergeCell ref="C230:C232"/>
    <mergeCell ref="B270:C270"/>
    <mergeCell ref="B272:C272"/>
    <mergeCell ref="D239:D242"/>
    <mergeCell ref="D243:D244"/>
    <mergeCell ref="C219:C221"/>
    <mergeCell ref="A121:A124"/>
    <mergeCell ref="B122:C122"/>
    <mergeCell ref="C151:C153"/>
    <mergeCell ref="B155:C155"/>
    <mergeCell ref="B168:B169"/>
    <mergeCell ref="B159:B166"/>
    <mergeCell ref="B158:C158"/>
    <mergeCell ref="B146:C146"/>
    <mergeCell ref="B148:C148"/>
    <mergeCell ref="B150:C150"/>
    <mergeCell ref="B127:C127"/>
    <mergeCell ref="B137:C137"/>
    <mergeCell ref="B265:C265"/>
    <mergeCell ref="D133:D134"/>
    <mergeCell ref="C206:C207"/>
    <mergeCell ref="B142:C142"/>
    <mergeCell ref="A176:A180"/>
    <mergeCell ref="B177:C177"/>
    <mergeCell ref="B178:B179"/>
    <mergeCell ref="B180:C180"/>
    <mergeCell ref="B188:C188"/>
    <mergeCell ref="B190:C190"/>
    <mergeCell ref="B426:C426"/>
    <mergeCell ref="B427:B428"/>
    <mergeCell ref="C394:C395"/>
    <mergeCell ref="C396:C397"/>
    <mergeCell ref="C361:C364"/>
    <mergeCell ref="B351:C351"/>
    <mergeCell ref="B192:C192"/>
    <mergeCell ref="C195:C204"/>
    <mergeCell ref="B223:C223"/>
    <mergeCell ref="B213:C213"/>
    <mergeCell ref="B214:B215"/>
    <mergeCell ref="B216:C216"/>
    <mergeCell ref="B218:C218"/>
    <mergeCell ref="B403:C403"/>
    <mergeCell ref="B283:B284"/>
    <mergeCell ref="B285:C285"/>
    <mergeCell ref="B266:B267"/>
    <mergeCell ref="D552:D554"/>
    <mergeCell ref="B573:B575"/>
    <mergeCell ref="B583:C583"/>
    <mergeCell ref="B585:C585"/>
    <mergeCell ref="B587:C587"/>
    <mergeCell ref="B621:B622"/>
    <mergeCell ref="B624:C624"/>
    <mergeCell ref="B633:C633"/>
    <mergeCell ref="A662:C662"/>
    <mergeCell ref="B636:C636"/>
    <mergeCell ref="B642:C642"/>
    <mergeCell ref="B645:C645"/>
    <mergeCell ref="B647:C647"/>
    <mergeCell ref="B650:C650"/>
    <mergeCell ref="B651:B653"/>
    <mergeCell ref="A651:A654"/>
    <mergeCell ref="B654:C654"/>
    <mergeCell ref="A655:C655"/>
    <mergeCell ref="A658:C658"/>
    <mergeCell ref="C637:C638"/>
    <mergeCell ref="A659:C659"/>
    <mergeCell ref="A661:C661"/>
    <mergeCell ref="C651:C653"/>
    <mergeCell ref="B566:C566"/>
    <mergeCell ref="C568:C569"/>
    <mergeCell ref="B570:C570"/>
    <mergeCell ref="A577:A580"/>
    <mergeCell ref="D640:D641"/>
    <mergeCell ref="B588:B589"/>
    <mergeCell ref="B590:C590"/>
    <mergeCell ref="B576:C576"/>
    <mergeCell ref="B625:B626"/>
    <mergeCell ref="B627:C627"/>
    <mergeCell ref="B630:C630"/>
    <mergeCell ref="C599:C600"/>
    <mergeCell ref="C606:C607"/>
    <mergeCell ref="B604:C604"/>
    <mergeCell ref="B609:C609"/>
    <mergeCell ref="B613:C613"/>
    <mergeCell ref="B615:C615"/>
    <mergeCell ref="B616:B619"/>
    <mergeCell ref="B620:C620"/>
    <mergeCell ref="B592:C592"/>
    <mergeCell ref="B594:C594"/>
    <mergeCell ref="B597:C597"/>
    <mergeCell ref="B578:C578"/>
    <mergeCell ref="B580:C580"/>
    <mergeCell ref="B572:C572"/>
    <mergeCell ref="B544:C544"/>
    <mergeCell ref="B550:C550"/>
    <mergeCell ref="B551:B553"/>
    <mergeCell ref="B555:C555"/>
    <mergeCell ref="B557:C557"/>
    <mergeCell ref="B479:B480"/>
    <mergeCell ref="A511:A512"/>
    <mergeCell ref="C490:C499"/>
    <mergeCell ref="B512:C512"/>
    <mergeCell ref="A514:A517"/>
    <mergeCell ref="B515:C515"/>
    <mergeCell ref="B517:C517"/>
    <mergeCell ref="B524:C524"/>
    <mergeCell ref="A518:A521"/>
    <mergeCell ref="B519:C519"/>
    <mergeCell ref="B521:C521"/>
    <mergeCell ref="B490:B502"/>
    <mergeCell ref="B503:C503"/>
    <mergeCell ref="B505:C505"/>
    <mergeCell ref="C479:C480"/>
    <mergeCell ref="B548:C548"/>
    <mergeCell ref="B530:C530"/>
    <mergeCell ref="B546:C546"/>
    <mergeCell ref="C525:C527"/>
    <mergeCell ref="B564:C564"/>
    <mergeCell ref="D468:D469"/>
    <mergeCell ref="B449:B456"/>
    <mergeCell ref="C427:C428"/>
    <mergeCell ref="D542:D543"/>
    <mergeCell ref="B483:C483"/>
    <mergeCell ref="B486:C486"/>
    <mergeCell ref="B489:C489"/>
    <mergeCell ref="D510:D511"/>
    <mergeCell ref="B481:C481"/>
    <mergeCell ref="B457:C457"/>
    <mergeCell ref="B463:C463"/>
    <mergeCell ref="B439:C439"/>
    <mergeCell ref="B539:C539"/>
    <mergeCell ref="B528:C528"/>
    <mergeCell ref="B474:C474"/>
    <mergeCell ref="B478:C478"/>
    <mergeCell ref="B461:C461"/>
    <mergeCell ref="B484:B485"/>
    <mergeCell ref="D507:D509"/>
    <mergeCell ref="B532:C532"/>
    <mergeCell ref="B534:C534"/>
    <mergeCell ref="B536:C536"/>
    <mergeCell ref="C472:C473"/>
    <mergeCell ref="C173:C174"/>
    <mergeCell ref="B183:C183"/>
    <mergeCell ref="B186:C186"/>
    <mergeCell ref="B378:C378"/>
    <mergeCell ref="C379:C383"/>
    <mergeCell ref="B387:C387"/>
    <mergeCell ref="B353:C353"/>
    <mergeCell ref="C354:C356"/>
    <mergeCell ref="B358:C358"/>
    <mergeCell ref="B360:C360"/>
    <mergeCell ref="B375:C375"/>
    <mergeCell ref="B268:C268"/>
    <mergeCell ref="B275:C275"/>
    <mergeCell ref="B280:C280"/>
    <mergeCell ref="C261:C262"/>
    <mergeCell ref="B292:C292"/>
    <mergeCell ref="B293:B294"/>
    <mergeCell ref="B295:C295"/>
    <mergeCell ref="B302:C302"/>
    <mergeCell ref="B315:C315"/>
    <mergeCell ref="B300:C300"/>
    <mergeCell ref="B305:C305"/>
    <mergeCell ref="C266:C267"/>
  </mergeCells>
  <pageMargins left="0.25" right="0.25" top="0.75" bottom="0.75" header="0.3" footer="0.3"/>
  <pageSetup paperSize="9" scale="92" fitToHeight="0" orientation="landscape" r:id="rId1"/>
  <headerFooter>
    <oddFooter>Strona &amp;P z &amp;N</oddFooter>
  </headerFooter>
  <rowBreaks count="25" manualBreakCount="25">
    <brk id="25" max="7" man="1"/>
    <brk id="39" max="7" man="1"/>
    <brk id="53" max="7" man="1"/>
    <brk id="71" max="7" man="1"/>
    <brk id="82" max="7" man="1"/>
    <brk id="103" max="7" man="1"/>
    <brk id="113" max="7" man="1"/>
    <brk id="132" max="7" man="1"/>
    <brk id="166" max="7" man="1"/>
    <brk id="186" max="7" man="1"/>
    <brk id="207" max="7" man="1"/>
    <brk id="223" max="7" man="1"/>
    <brk id="238" max="7" man="1"/>
    <brk id="244" max="7" man="1"/>
    <brk id="296" max="7" man="1"/>
    <brk id="328" max="7" man="1"/>
    <brk id="364" max="7" man="1"/>
    <brk id="408" max="7" man="1"/>
    <brk id="446" max="7" man="1"/>
    <brk id="481" max="7" man="1"/>
    <brk id="503" max="7" man="1"/>
    <brk id="517" max="7" man="1"/>
    <brk id="536" max="7" man="1"/>
    <brk id="555" max="7" man="1"/>
    <brk id="598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F8335-9217-45E7-8E16-F2C6FC8D5F40}">
  <sheetPr>
    <pageSetUpPr fitToPage="1"/>
  </sheetPr>
  <dimension ref="A1:EI1909"/>
  <sheetViews>
    <sheetView view="pageBreakPreview" zoomScaleNormal="115" zoomScaleSheetLayoutView="100" workbookViewId="0">
      <selection sqref="A1:H1"/>
    </sheetView>
  </sheetViews>
  <sheetFormatPr defaultRowHeight="12.75"/>
  <cols>
    <col min="1" max="1" width="7" style="443" customWidth="1"/>
    <col min="2" max="2" width="8" style="443" customWidth="1"/>
    <col min="3" max="3" width="10.5703125" style="443" customWidth="1"/>
    <col min="4" max="4" width="62" style="443" customWidth="1"/>
    <col min="5" max="6" width="19.85546875" style="665" customWidth="1"/>
    <col min="7" max="7" width="19.85546875" style="666" customWidth="1"/>
    <col min="8" max="8" width="11.28515625" style="665" bestFit="1" customWidth="1"/>
    <col min="9" max="9" width="2.85546875" style="443" customWidth="1"/>
    <col min="10" max="10" width="2.85546875" style="444" hidden="1" customWidth="1"/>
    <col min="11" max="11" width="11.7109375" style="443" hidden="1" customWidth="1"/>
    <col min="12" max="16384" width="9.140625" style="443"/>
  </cols>
  <sheetData>
    <row r="1" spans="1:10" ht="43.5" customHeight="1">
      <c r="A1" s="4822" t="s">
        <v>562</v>
      </c>
      <c r="B1" s="4822"/>
      <c r="C1" s="4822"/>
      <c r="D1" s="4822"/>
      <c r="E1" s="4822"/>
      <c r="F1" s="4822"/>
      <c r="G1" s="4822"/>
      <c r="H1" s="4822"/>
    </row>
    <row r="2" spans="1:10" s="449" customFormat="1" ht="13.5" customHeight="1" thickBot="1">
      <c r="A2" s="445"/>
      <c r="B2" s="445"/>
      <c r="C2" s="445"/>
      <c r="D2" s="445"/>
      <c r="E2" s="446"/>
      <c r="F2" s="447"/>
      <c r="G2" s="448"/>
      <c r="H2" s="447" t="s">
        <v>0</v>
      </c>
      <c r="J2" s="450"/>
    </row>
    <row r="3" spans="1:10" ht="38.25" customHeight="1" thickBot="1">
      <c r="A3" s="451" t="s">
        <v>1</v>
      </c>
      <c r="B3" s="452" t="s">
        <v>442</v>
      </c>
      <c r="C3" s="453" t="s">
        <v>4</v>
      </c>
      <c r="D3" s="454" t="s">
        <v>563</v>
      </c>
      <c r="E3" s="455" t="s">
        <v>564</v>
      </c>
      <c r="F3" s="456" t="s">
        <v>6</v>
      </c>
      <c r="G3" s="457" t="s">
        <v>7</v>
      </c>
      <c r="H3" s="458" t="s">
        <v>467</v>
      </c>
      <c r="I3" s="459"/>
      <c r="J3" s="460"/>
    </row>
    <row r="4" spans="1:10" ht="15" customHeight="1" thickBot="1">
      <c r="A4" s="461" t="s">
        <v>9</v>
      </c>
      <c r="B4" s="462" t="s">
        <v>10</v>
      </c>
      <c r="C4" s="463" t="s">
        <v>11</v>
      </c>
      <c r="D4" s="461" t="s">
        <v>12</v>
      </c>
      <c r="E4" s="464" t="s">
        <v>13</v>
      </c>
      <c r="F4" s="465" t="s">
        <v>14</v>
      </c>
      <c r="G4" s="466" t="s">
        <v>15</v>
      </c>
      <c r="H4" s="467" t="s">
        <v>16</v>
      </c>
    </row>
    <row r="5" spans="1:10" ht="13.5" thickBot="1">
      <c r="A5" s="468"/>
      <c r="B5" s="469"/>
      <c r="C5" s="470"/>
      <c r="D5" s="470"/>
      <c r="E5" s="471"/>
      <c r="F5" s="471"/>
      <c r="G5" s="472"/>
      <c r="H5" s="473"/>
    </row>
    <row r="6" spans="1:10" s="444" customFormat="1" ht="17.100000000000001" customHeight="1" thickBot="1">
      <c r="A6" s="648" t="s">
        <v>17</v>
      </c>
      <c r="B6" s="1989"/>
      <c r="C6" s="1990"/>
      <c r="D6" s="1991" t="s">
        <v>565</v>
      </c>
      <c r="E6" s="1992">
        <f>SUM(E7,E45,E80,E96)</f>
        <v>52003357</v>
      </c>
      <c r="F6" s="1992">
        <f>SUM(F7,F45,F80,F96)</f>
        <v>58918248</v>
      </c>
      <c r="G6" s="1993">
        <f>SUM(G7,G45,G80,G96)</f>
        <v>53829192.640000001</v>
      </c>
      <c r="H6" s="1975">
        <f t="shared" ref="H6:H16" si="0">G6/F6</f>
        <v>0.91362514105986314</v>
      </c>
    </row>
    <row r="7" spans="1:10" s="444" customFormat="1" ht="17.100000000000001" customHeight="1" thickBot="1">
      <c r="A7" s="477"/>
      <c r="B7" s="1983" t="s">
        <v>19</v>
      </c>
      <c r="C7" s="1984"/>
      <c r="D7" s="1985" t="s">
        <v>566</v>
      </c>
      <c r="E7" s="1986">
        <f>E8+E42</f>
        <v>20952501</v>
      </c>
      <c r="F7" s="1986">
        <f>F8+F42</f>
        <v>21567818</v>
      </c>
      <c r="G7" s="1987">
        <f>G8+G42</f>
        <v>21198226.780000001</v>
      </c>
      <c r="H7" s="1988">
        <f t="shared" si="0"/>
        <v>0.98286376396536734</v>
      </c>
      <c r="J7" s="478"/>
    </row>
    <row r="8" spans="1:10" s="444" customFormat="1" ht="17.100000000000001" customHeight="1">
      <c r="A8" s="477"/>
      <c r="B8" s="4823"/>
      <c r="C8" s="4824" t="s">
        <v>567</v>
      </c>
      <c r="D8" s="4824"/>
      <c r="E8" s="1976">
        <f>E9+E39</f>
        <v>20048501</v>
      </c>
      <c r="F8" s="1976">
        <f>F9+F39</f>
        <v>20344698</v>
      </c>
      <c r="G8" s="1977">
        <f>G9+G39</f>
        <v>20010268.360000003</v>
      </c>
      <c r="H8" s="1978">
        <f t="shared" si="0"/>
        <v>0.98356182824635707</v>
      </c>
      <c r="J8" s="478"/>
    </row>
    <row r="9" spans="1:10" s="444" customFormat="1" ht="17.100000000000001" customHeight="1">
      <c r="A9" s="477"/>
      <c r="B9" s="4823"/>
      <c r="C9" s="4825" t="s">
        <v>568</v>
      </c>
      <c r="D9" s="4825"/>
      <c r="E9" s="1994">
        <f>E10+E18</f>
        <v>19904786</v>
      </c>
      <c r="F9" s="1994">
        <f>F10+F18</f>
        <v>20011233</v>
      </c>
      <c r="G9" s="1995">
        <f>G10+G18</f>
        <v>19678653.600000001</v>
      </c>
      <c r="H9" s="1996">
        <f t="shared" si="0"/>
        <v>0.98338036441832455</v>
      </c>
    </row>
    <row r="10" spans="1:10" s="444" customFormat="1" ht="17.100000000000001" customHeight="1">
      <c r="A10" s="477"/>
      <c r="B10" s="4823"/>
      <c r="C10" s="4826" t="s">
        <v>569</v>
      </c>
      <c r="D10" s="4826"/>
      <c r="E10" s="1997">
        <f>SUM(E11:E16)</f>
        <v>15114652</v>
      </c>
      <c r="F10" s="1997">
        <f>SUM(F11:F16)</f>
        <v>15703243</v>
      </c>
      <c r="G10" s="1998">
        <f>SUM(G11:G16)</f>
        <v>15613120.140000001</v>
      </c>
      <c r="H10" s="1999">
        <f t="shared" si="0"/>
        <v>0.99426087592225376</v>
      </c>
      <c r="J10" s="444" t="s">
        <v>570</v>
      </c>
    </row>
    <row r="11" spans="1:10" s="444" customFormat="1" ht="17.100000000000001" customHeight="1">
      <c r="A11" s="477"/>
      <c r="B11" s="479"/>
      <c r="C11" s="2000" t="s">
        <v>337</v>
      </c>
      <c r="D11" s="2001" t="s">
        <v>571</v>
      </c>
      <c r="E11" s="2002">
        <v>11642549</v>
      </c>
      <c r="F11" s="2002">
        <v>12272797</v>
      </c>
      <c r="G11" s="2003">
        <v>12222558.25</v>
      </c>
      <c r="H11" s="2004">
        <f t="shared" si="0"/>
        <v>0.99590649547939236</v>
      </c>
    </row>
    <row r="12" spans="1:10" s="444" customFormat="1" ht="17.100000000000001" customHeight="1">
      <c r="A12" s="477"/>
      <c r="B12" s="479"/>
      <c r="C12" s="2005" t="s">
        <v>336</v>
      </c>
      <c r="D12" s="2006" t="s">
        <v>572</v>
      </c>
      <c r="E12" s="2007">
        <v>767345</v>
      </c>
      <c r="F12" s="2007">
        <v>745941</v>
      </c>
      <c r="G12" s="2008">
        <v>745941</v>
      </c>
      <c r="H12" s="2009">
        <f t="shared" si="0"/>
        <v>1</v>
      </c>
    </row>
    <row r="13" spans="1:10" s="444" customFormat="1" ht="17.100000000000001" customHeight="1">
      <c r="A13" s="477"/>
      <c r="B13" s="479"/>
      <c r="C13" s="2010" t="s">
        <v>315</v>
      </c>
      <c r="D13" s="2011" t="s">
        <v>573</v>
      </c>
      <c r="E13" s="2012">
        <v>2142488</v>
      </c>
      <c r="F13" s="2012">
        <v>2194867</v>
      </c>
      <c r="G13" s="2013">
        <v>2170786.2999999998</v>
      </c>
      <c r="H13" s="2014">
        <f t="shared" si="0"/>
        <v>0.98902862906955169</v>
      </c>
    </row>
    <row r="14" spans="1:10" s="444" customFormat="1" ht="15.75" customHeight="1">
      <c r="A14" s="477"/>
      <c r="B14" s="479"/>
      <c r="C14" s="2015" t="s">
        <v>314</v>
      </c>
      <c r="D14" s="2016" t="s">
        <v>574</v>
      </c>
      <c r="E14" s="2017">
        <v>275044</v>
      </c>
      <c r="F14" s="2017">
        <v>290300</v>
      </c>
      <c r="G14" s="2018">
        <v>278598.46999999997</v>
      </c>
      <c r="H14" s="2019">
        <f t="shared" si="0"/>
        <v>0.95969159490182565</v>
      </c>
    </row>
    <row r="15" spans="1:10" s="444" customFormat="1" ht="17.100000000000001" customHeight="1">
      <c r="A15" s="477"/>
      <c r="B15" s="479"/>
      <c r="C15" s="2020" t="s">
        <v>319</v>
      </c>
      <c r="D15" s="2021" t="s">
        <v>575</v>
      </c>
      <c r="E15" s="2022">
        <v>225200</v>
      </c>
      <c r="F15" s="2022">
        <v>120200</v>
      </c>
      <c r="G15" s="2023">
        <v>118880</v>
      </c>
      <c r="H15" s="2024">
        <f t="shared" si="0"/>
        <v>0.98901830282861902</v>
      </c>
    </row>
    <row r="16" spans="1:10" s="444" customFormat="1" ht="17.100000000000001" customHeight="1">
      <c r="A16" s="477"/>
      <c r="B16" s="479"/>
      <c r="C16" s="2025" t="s">
        <v>335</v>
      </c>
      <c r="D16" s="2026" t="s">
        <v>576</v>
      </c>
      <c r="E16" s="2027">
        <v>62026</v>
      </c>
      <c r="F16" s="2027">
        <v>79138</v>
      </c>
      <c r="G16" s="2028">
        <v>76356.12</v>
      </c>
      <c r="H16" s="2029">
        <f t="shared" si="0"/>
        <v>0.96484773433748638</v>
      </c>
    </row>
    <row r="17" spans="1:8" s="444" customFormat="1" ht="17.100000000000001" customHeight="1">
      <c r="A17" s="477"/>
      <c r="B17" s="479"/>
      <c r="C17" s="2030"/>
      <c r="D17" s="2031"/>
      <c r="E17" s="2032"/>
      <c r="F17" s="2033"/>
      <c r="G17" s="2034"/>
      <c r="H17" s="2035"/>
    </row>
    <row r="18" spans="1:8" s="444" customFormat="1" ht="17.100000000000001" customHeight="1">
      <c r="A18" s="477"/>
      <c r="B18" s="479"/>
      <c r="C18" s="4827" t="s">
        <v>577</v>
      </c>
      <c r="D18" s="4828"/>
      <c r="E18" s="2036">
        <f>SUM(E19:E37)</f>
        <v>4790134</v>
      </c>
      <c r="F18" s="2036">
        <f>SUM(F19:F37)</f>
        <v>4307990</v>
      </c>
      <c r="G18" s="2037">
        <f>SUM(G19:G37)</f>
        <v>4065533.4600000004</v>
      </c>
      <c r="H18" s="2038">
        <f t="shared" ref="H18:H37" si="1">G18/F18</f>
        <v>0.94371933546735265</v>
      </c>
    </row>
    <row r="19" spans="1:8" s="444" customFormat="1" ht="17.100000000000001" customHeight="1">
      <c r="A19" s="477"/>
      <c r="B19" s="479"/>
      <c r="C19" s="2039" t="s">
        <v>363</v>
      </c>
      <c r="D19" s="2040" t="s">
        <v>578</v>
      </c>
      <c r="E19" s="480">
        <v>175000</v>
      </c>
      <c r="F19" s="1303">
        <v>163500</v>
      </c>
      <c r="G19" s="1304">
        <v>162464</v>
      </c>
      <c r="H19" s="2038">
        <f t="shared" si="1"/>
        <v>0.99366360856269109</v>
      </c>
    </row>
    <row r="20" spans="1:8" s="444" customFormat="1" ht="17.100000000000001" customHeight="1">
      <c r="A20" s="477"/>
      <c r="B20" s="479"/>
      <c r="C20" s="2039" t="s">
        <v>313</v>
      </c>
      <c r="D20" s="2040" t="s">
        <v>579</v>
      </c>
      <c r="E20" s="480">
        <v>1908048</v>
      </c>
      <c r="F20" s="1303">
        <v>1573135</v>
      </c>
      <c r="G20" s="1304">
        <v>1512256.38</v>
      </c>
      <c r="H20" s="2038">
        <f t="shared" si="1"/>
        <v>0.96130108350522991</v>
      </c>
    </row>
    <row r="21" spans="1:8" s="444" customFormat="1" ht="17.100000000000001" customHeight="1">
      <c r="A21" s="477"/>
      <c r="B21" s="479"/>
      <c r="C21" s="2039" t="s">
        <v>333</v>
      </c>
      <c r="D21" s="2040" t="s">
        <v>580</v>
      </c>
      <c r="E21" s="480">
        <v>7500</v>
      </c>
      <c r="F21" s="1303">
        <v>7500</v>
      </c>
      <c r="G21" s="1304">
        <v>7441.08</v>
      </c>
      <c r="H21" s="2038">
        <f t="shared" si="1"/>
        <v>0.99214400000000003</v>
      </c>
    </row>
    <row r="22" spans="1:8" s="444" customFormat="1" ht="17.100000000000001" customHeight="1">
      <c r="A22" s="477"/>
      <c r="B22" s="479"/>
      <c r="C22" s="2039" t="s">
        <v>331</v>
      </c>
      <c r="D22" s="2040" t="s">
        <v>581</v>
      </c>
      <c r="E22" s="480">
        <v>416481</v>
      </c>
      <c r="F22" s="1303">
        <v>410481</v>
      </c>
      <c r="G22" s="1304">
        <v>376054.48</v>
      </c>
      <c r="H22" s="2038">
        <f t="shared" si="1"/>
        <v>0.91613127038766706</v>
      </c>
    </row>
    <row r="23" spans="1:8" s="444" customFormat="1" ht="17.100000000000001" customHeight="1">
      <c r="A23" s="477"/>
      <c r="B23" s="479"/>
      <c r="C23" s="2039" t="s">
        <v>330</v>
      </c>
      <c r="D23" s="2040" t="s">
        <v>582</v>
      </c>
      <c r="E23" s="480">
        <v>251513</v>
      </c>
      <c r="F23" s="1303">
        <v>193760</v>
      </c>
      <c r="G23" s="1304">
        <v>170467.52</v>
      </c>
      <c r="H23" s="2038">
        <f t="shared" si="1"/>
        <v>0.87978695293146159</v>
      </c>
    </row>
    <row r="24" spans="1:8" s="444" customFormat="1" ht="17.100000000000001" customHeight="1">
      <c r="A24" s="477"/>
      <c r="B24" s="479"/>
      <c r="C24" s="2039" t="s">
        <v>329</v>
      </c>
      <c r="D24" s="2040" t="s">
        <v>583</v>
      </c>
      <c r="E24" s="480">
        <v>32640</v>
      </c>
      <c r="F24" s="1303">
        <v>19640</v>
      </c>
      <c r="G24" s="1304">
        <v>16700</v>
      </c>
      <c r="H24" s="2038">
        <f t="shared" si="1"/>
        <v>0.85030549898167007</v>
      </c>
    </row>
    <row r="25" spans="1:8" s="444" customFormat="1" ht="17.100000000000001" customHeight="1">
      <c r="A25" s="477"/>
      <c r="B25" s="479"/>
      <c r="C25" s="2039" t="s">
        <v>312</v>
      </c>
      <c r="D25" s="2040" t="s">
        <v>584</v>
      </c>
      <c r="E25" s="480">
        <v>1272054</v>
      </c>
      <c r="F25" s="1303">
        <v>1021823</v>
      </c>
      <c r="G25" s="1304">
        <v>937936.49</v>
      </c>
      <c r="H25" s="2038">
        <f t="shared" si="1"/>
        <v>0.91790504813455953</v>
      </c>
    </row>
    <row r="26" spans="1:8" s="444" customFormat="1" ht="16.5" customHeight="1">
      <c r="A26" s="477"/>
      <c r="B26" s="479"/>
      <c r="C26" s="2039" t="s">
        <v>328</v>
      </c>
      <c r="D26" s="2040" t="s">
        <v>585</v>
      </c>
      <c r="E26" s="480">
        <v>59140</v>
      </c>
      <c r="F26" s="1303">
        <v>37140</v>
      </c>
      <c r="G26" s="1304">
        <v>34803.93</v>
      </c>
      <c r="H26" s="2038">
        <f t="shared" si="1"/>
        <v>0.93710096930533116</v>
      </c>
    </row>
    <row r="27" spans="1:8" s="444" customFormat="1" ht="16.5" customHeight="1">
      <c r="A27" s="477"/>
      <c r="B27" s="479"/>
      <c r="C27" s="2039" t="s">
        <v>327</v>
      </c>
      <c r="D27" s="2040" t="s">
        <v>586</v>
      </c>
      <c r="E27" s="480">
        <v>6800</v>
      </c>
      <c r="F27" s="1303">
        <v>29020</v>
      </c>
      <c r="G27" s="1304">
        <v>28889.25</v>
      </c>
      <c r="H27" s="2038">
        <f t="shared" si="1"/>
        <v>0.99549448656099238</v>
      </c>
    </row>
    <row r="28" spans="1:8" s="444" customFormat="1" ht="27.75" customHeight="1">
      <c r="A28" s="477"/>
      <c r="B28" s="479"/>
      <c r="C28" s="2039" t="s">
        <v>587</v>
      </c>
      <c r="D28" s="2040" t="s">
        <v>588</v>
      </c>
      <c r="E28" s="480">
        <v>240000</v>
      </c>
      <c r="F28" s="1303">
        <v>253635</v>
      </c>
      <c r="G28" s="1304">
        <v>253555.06</v>
      </c>
      <c r="H28" s="2038">
        <f t="shared" si="1"/>
        <v>0.99968482267825809</v>
      </c>
    </row>
    <row r="29" spans="1:8" s="444" customFormat="1" ht="17.100000000000001" customHeight="1" thickBot="1">
      <c r="A29" s="501"/>
      <c r="B29" s="502"/>
      <c r="C29" s="2041" t="s">
        <v>326</v>
      </c>
      <c r="D29" s="2042" t="s">
        <v>589</v>
      </c>
      <c r="E29" s="1979">
        <v>5000</v>
      </c>
      <c r="F29" s="1980">
        <v>5000</v>
      </c>
      <c r="G29" s="1981">
        <v>4182.5</v>
      </c>
      <c r="H29" s="1982">
        <f t="shared" si="1"/>
        <v>0.83650000000000002</v>
      </c>
    </row>
    <row r="30" spans="1:8" s="444" customFormat="1" ht="16.5" customHeight="1">
      <c r="A30" s="500"/>
      <c r="B30" s="2043"/>
      <c r="C30" s="2044" t="s">
        <v>590</v>
      </c>
      <c r="D30" s="2045" t="s">
        <v>591</v>
      </c>
      <c r="E30" s="2060">
        <v>0</v>
      </c>
      <c r="F30" s="2061">
        <v>8000</v>
      </c>
      <c r="G30" s="2062">
        <v>5377.04</v>
      </c>
      <c r="H30" s="2063">
        <f t="shared" si="1"/>
        <v>0.67213000000000001</v>
      </c>
    </row>
    <row r="31" spans="1:8" s="444" customFormat="1" ht="17.100000000000001" customHeight="1">
      <c r="A31" s="477"/>
      <c r="B31" s="479"/>
      <c r="C31" s="2067" t="s">
        <v>325</v>
      </c>
      <c r="D31" s="2068" t="s">
        <v>592</v>
      </c>
      <c r="E31" s="480">
        <v>110150</v>
      </c>
      <c r="F31" s="1303">
        <v>127272</v>
      </c>
      <c r="G31" s="1304">
        <v>123653.86</v>
      </c>
      <c r="H31" s="2069">
        <f t="shared" si="1"/>
        <v>0.97157159469482679</v>
      </c>
    </row>
    <row r="32" spans="1:8" s="444" customFormat="1" ht="17.100000000000001" customHeight="1">
      <c r="A32" s="477"/>
      <c r="B32" s="479"/>
      <c r="C32" s="2067" t="s">
        <v>324</v>
      </c>
      <c r="D32" s="2068" t="s">
        <v>593</v>
      </c>
      <c r="E32" s="480">
        <v>210532</v>
      </c>
      <c r="F32" s="1303">
        <v>226244</v>
      </c>
      <c r="G32" s="1304">
        <v>222669.66</v>
      </c>
      <c r="H32" s="2069">
        <f t="shared" si="1"/>
        <v>0.98420139318611766</v>
      </c>
    </row>
    <row r="33" spans="1:10" s="444" customFormat="1" ht="17.100000000000001" customHeight="1">
      <c r="A33" s="477"/>
      <c r="B33" s="479"/>
      <c r="C33" s="2070" t="s">
        <v>323</v>
      </c>
      <c r="D33" s="2071" t="s">
        <v>594</v>
      </c>
      <c r="E33" s="480">
        <v>20000</v>
      </c>
      <c r="F33" s="1303">
        <v>18023</v>
      </c>
      <c r="G33" s="1304">
        <v>18023</v>
      </c>
      <c r="H33" s="2069">
        <f t="shared" si="1"/>
        <v>1</v>
      </c>
    </row>
    <row r="34" spans="1:10" s="444" customFormat="1" ht="16.5" customHeight="1">
      <c r="A34" s="479"/>
      <c r="B34" s="479"/>
      <c r="C34" s="2046" t="s">
        <v>595</v>
      </c>
      <c r="D34" s="2047" t="s">
        <v>596</v>
      </c>
      <c r="E34" s="481">
        <v>0</v>
      </c>
      <c r="F34" s="481">
        <v>200</v>
      </c>
      <c r="G34" s="604">
        <v>200</v>
      </c>
      <c r="H34" s="2069">
        <f t="shared" si="1"/>
        <v>1</v>
      </c>
    </row>
    <row r="35" spans="1:10" s="444" customFormat="1" ht="17.100000000000001" customHeight="1">
      <c r="A35" s="477"/>
      <c r="B35" s="479"/>
      <c r="C35" s="2067" t="s">
        <v>362</v>
      </c>
      <c r="D35" s="2068" t="s">
        <v>597</v>
      </c>
      <c r="E35" s="2064">
        <v>14951</v>
      </c>
      <c r="F35" s="2064">
        <v>13076</v>
      </c>
      <c r="G35" s="2065">
        <v>12969.31</v>
      </c>
      <c r="H35" s="2066">
        <f t="shared" si="1"/>
        <v>0.99184077699602324</v>
      </c>
    </row>
    <row r="36" spans="1:10" s="444" customFormat="1" ht="16.5" customHeight="1">
      <c r="A36" s="477"/>
      <c r="B36" s="479"/>
      <c r="C36" s="2072" t="s">
        <v>598</v>
      </c>
      <c r="D36" s="2073" t="s">
        <v>599</v>
      </c>
      <c r="E36" s="2074">
        <v>0</v>
      </c>
      <c r="F36" s="2074">
        <v>216</v>
      </c>
      <c r="G36" s="2075">
        <v>216</v>
      </c>
      <c r="H36" s="2076">
        <f t="shared" si="1"/>
        <v>1</v>
      </c>
    </row>
    <row r="37" spans="1:10" s="444" customFormat="1" ht="16.5" customHeight="1">
      <c r="A37" s="477"/>
      <c r="B37" s="479"/>
      <c r="C37" s="2077" t="s">
        <v>322</v>
      </c>
      <c r="D37" s="2078" t="s">
        <v>600</v>
      </c>
      <c r="E37" s="2079">
        <v>60325</v>
      </c>
      <c r="F37" s="2079">
        <v>200325</v>
      </c>
      <c r="G37" s="2080">
        <v>177673.9</v>
      </c>
      <c r="H37" s="2081">
        <f t="shared" si="1"/>
        <v>0.88692824160738792</v>
      </c>
    </row>
    <row r="38" spans="1:10" s="444" customFormat="1" ht="17.100000000000001" customHeight="1">
      <c r="A38" s="477"/>
      <c r="B38" s="479"/>
      <c r="C38" s="4847"/>
      <c r="D38" s="4847"/>
      <c r="E38" s="2082"/>
      <c r="F38" s="2083"/>
      <c r="G38" s="2084"/>
      <c r="H38" s="2085"/>
    </row>
    <row r="39" spans="1:10" s="444" customFormat="1" ht="17.100000000000001" customHeight="1">
      <c r="A39" s="477"/>
      <c r="B39" s="479"/>
      <c r="C39" s="4848" t="s">
        <v>601</v>
      </c>
      <c r="D39" s="4848"/>
      <c r="E39" s="2086">
        <f>SUM(E40)</f>
        <v>143715</v>
      </c>
      <c r="F39" s="2086">
        <f>SUM(F40)</f>
        <v>333465</v>
      </c>
      <c r="G39" s="2087">
        <f>SUM(G40)</f>
        <v>331614.76</v>
      </c>
      <c r="H39" s="2088">
        <f>G39/F39</f>
        <v>0.99445147166869086</v>
      </c>
    </row>
    <row r="40" spans="1:10" s="444" customFormat="1" ht="17.100000000000001" customHeight="1">
      <c r="A40" s="477"/>
      <c r="B40" s="479"/>
      <c r="C40" s="2089" t="s">
        <v>321</v>
      </c>
      <c r="D40" s="2090" t="s">
        <v>602</v>
      </c>
      <c r="E40" s="2091">
        <v>143715</v>
      </c>
      <c r="F40" s="2091">
        <v>333465</v>
      </c>
      <c r="G40" s="2092">
        <v>331614.76</v>
      </c>
      <c r="H40" s="2093">
        <f>G40/F40</f>
        <v>0.99445147166869086</v>
      </c>
    </row>
    <row r="41" spans="1:10" s="444" customFormat="1" ht="17.100000000000001" customHeight="1">
      <c r="A41" s="477"/>
      <c r="B41" s="479"/>
      <c r="C41" s="4855"/>
      <c r="D41" s="4856"/>
      <c r="E41" s="2091"/>
      <c r="F41" s="2094"/>
      <c r="G41" s="2095"/>
      <c r="H41" s="2096"/>
    </row>
    <row r="42" spans="1:10" s="444" customFormat="1" ht="16.5" customHeight="1">
      <c r="A42" s="477"/>
      <c r="B42" s="479"/>
      <c r="C42" s="4857" t="s">
        <v>603</v>
      </c>
      <c r="D42" s="4858"/>
      <c r="E42" s="2097">
        <f t="shared" ref="E42:G43" si="2">SUM(E43)</f>
        <v>904000</v>
      </c>
      <c r="F42" s="2097">
        <f t="shared" si="2"/>
        <v>1223120</v>
      </c>
      <c r="G42" s="2098">
        <f t="shared" si="2"/>
        <v>1187958.42</v>
      </c>
      <c r="H42" s="2099">
        <f t="shared" ref="H42:H85" si="3">G42/F42</f>
        <v>0.97125255085355477</v>
      </c>
    </row>
    <row r="43" spans="1:10" s="444" customFormat="1" ht="16.5" customHeight="1">
      <c r="A43" s="477"/>
      <c r="B43" s="479"/>
      <c r="C43" s="4859" t="s">
        <v>604</v>
      </c>
      <c r="D43" s="4859"/>
      <c r="E43" s="2100">
        <f t="shared" si="2"/>
        <v>904000</v>
      </c>
      <c r="F43" s="2100">
        <f t="shared" si="2"/>
        <v>1223120</v>
      </c>
      <c r="G43" s="2101">
        <f t="shared" si="2"/>
        <v>1187958.42</v>
      </c>
      <c r="H43" s="2102">
        <f t="shared" si="3"/>
        <v>0.97125255085355477</v>
      </c>
    </row>
    <row r="44" spans="1:10" s="444" customFormat="1" ht="16.5" customHeight="1" thickBot="1">
      <c r="A44" s="477"/>
      <c r="B44" s="479"/>
      <c r="C44" s="2103" t="s">
        <v>354</v>
      </c>
      <c r="D44" s="2104" t="s">
        <v>605</v>
      </c>
      <c r="E44" s="2105">
        <v>904000</v>
      </c>
      <c r="F44" s="2105">
        <v>1223120</v>
      </c>
      <c r="G44" s="2106">
        <v>1187958.42</v>
      </c>
      <c r="H44" s="2107">
        <f t="shared" si="3"/>
        <v>0.97125255085355477</v>
      </c>
    </row>
    <row r="45" spans="1:10" s="444" customFormat="1" ht="16.5" customHeight="1" thickBot="1">
      <c r="A45" s="477"/>
      <c r="B45" s="2048" t="s">
        <v>29</v>
      </c>
      <c r="C45" s="2049"/>
      <c r="D45" s="2050" t="s">
        <v>606</v>
      </c>
      <c r="E45" s="2051">
        <f t="shared" ref="E45:G46" si="4">SUM(E46)</f>
        <v>8810000</v>
      </c>
      <c r="F45" s="2051">
        <f t="shared" si="4"/>
        <v>9208738</v>
      </c>
      <c r="G45" s="2052">
        <f t="shared" si="4"/>
        <v>9074546.5999999996</v>
      </c>
      <c r="H45" s="2053">
        <f t="shared" si="3"/>
        <v>0.98542781866527196</v>
      </c>
      <c r="J45" s="444" t="s">
        <v>607</v>
      </c>
    </row>
    <row r="46" spans="1:10" s="444" customFormat="1" ht="15">
      <c r="A46" s="477"/>
      <c r="B46" s="2054"/>
      <c r="C46" s="4860" t="s">
        <v>567</v>
      </c>
      <c r="D46" s="4861"/>
      <c r="E46" s="486">
        <f t="shared" si="4"/>
        <v>8810000</v>
      </c>
      <c r="F46" s="486">
        <f t="shared" si="4"/>
        <v>9208738</v>
      </c>
      <c r="G46" s="605">
        <f t="shared" si="4"/>
        <v>9074546.5999999996</v>
      </c>
      <c r="H46" s="2055">
        <f t="shared" si="3"/>
        <v>0.98542781866527196</v>
      </c>
    </row>
    <row r="47" spans="1:10" s="444" customFormat="1" ht="15">
      <c r="A47" s="477"/>
      <c r="B47" s="487"/>
      <c r="C47" s="4844" t="s">
        <v>608</v>
      </c>
      <c r="D47" s="4845"/>
      <c r="E47" s="2108">
        <f>SUM(E48:E79)</f>
        <v>8810000</v>
      </c>
      <c r="F47" s="2108">
        <f>SUM(F48:F79)</f>
        <v>9208738</v>
      </c>
      <c r="G47" s="2109">
        <f>SUM(G48:G79)</f>
        <v>9074546.5999999996</v>
      </c>
      <c r="H47" s="2110">
        <f t="shared" si="3"/>
        <v>0.98542781866527196</v>
      </c>
    </row>
    <row r="48" spans="1:10" s="444" customFormat="1" ht="54.75" customHeight="1">
      <c r="A48" s="477"/>
      <c r="B48" s="487"/>
      <c r="C48" s="2056" t="s">
        <v>609</v>
      </c>
      <c r="D48" s="2057" t="s">
        <v>610</v>
      </c>
      <c r="E48" s="481">
        <v>0</v>
      </c>
      <c r="F48" s="481">
        <v>462317</v>
      </c>
      <c r="G48" s="604">
        <v>431154.85</v>
      </c>
      <c r="H48" s="2110">
        <f t="shared" si="3"/>
        <v>0.93259570813965309</v>
      </c>
    </row>
    <row r="49" spans="1:8" s="444" customFormat="1" ht="58.5" customHeight="1">
      <c r="A49" s="477"/>
      <c r="B49" s="487"/>
      <c r="C49" s="2058" t="s">
        <v>611</v>
      </c>
      <c r="D49" s="2057" t="s">
        <v>610</v>
      </c>
      <c r="E49" s="2108">
        <v>0</v>
      </c>
      <c r="F49" s="2108">
        <v>264255</v>
      </c>
      <c r="G49" s="2109">
        <v>246442.03</v>
      </c>
      <c r="H49" s="2110">
        <f t="shared" si="3"/>
        <v>0.93259173903994252</v>
      </c>
    </row>
    <row r="50" spans="1:8" s="444" customFormat="1" ht="51.75" customHeight="1" thickBot="1">
      <c r="A50" s="501"/>
      <c r="B50" s="2059"/>
      <c r="C50" s="2111" t="s">
        <v>130</v>
      </c>
      <c r="D50" s="607" t="s">
        <v>612</v>
      </c>
      <c r="E50" s="2112">
        <v>0</v>
      </c>
      <c r="F50" s="2112">
        <v>59450</v>
      </c>
      <c r="G50" s="2113">
        <v>58662.45</v>
      </c>
      <c r="H50" s="2114">
        <f t="shared" si="3"/>
        <v>0.98675273338940284</v>
      </c>
    </row>
    <row r="51" spans="1:8" s="444" customFormat="1" ht="52.5" customHeight="1">
      <c r="A51" s="500"/>
      <c r="B51" s="2054"/>
      <c r="C51" s="2115" t="s">
        <v>138</v>
      </c>
      <c r="D51" s="2117" t="s">
        <v>612</v>
      </c>
      <c r="E51" s="2118">
        <v>0</v>
      </c>
      <c r="F51" s="2118">
        <v>33981</v>
      </c>
      <c r="G51" s="2119">
        <v>33530.639999999999</v>
      </c>
      <c r="H51" s="2120">
        <f t="shared" si="3"/>
        <v>0.98674671139754566</v>
      </c>
    </row>
    <row r="52" spans="1:8" s="444" customFormat="1" ht="15">
      <c r="A52" s="479"/>
      <c r="B52" s="487"/>
      <c r="C52" s="2121" t="s">
        <v>613</v>
      </c>
      <c r="D52" s="2122" t="s">
        <v>571</v>
      </c>
      <c r="E52" s="2123">
        <v>3161610</v>
      </c>
      <c r="F52" s="2123">
        <v>3647037</v>
      </c>
      <c r="G52" s="2124">
        <v>3638378.59</v>
      </c>
      <c r="H52" s="2125">
        <f t="shared" si="3"/>
        <v>0.99762590563243525</v>
      </c>
    </row>
    <row r="53" spans="1:8" s="444" customFormat="1" ht="15">
      <c r="A53" s="477"/>
      <c r="B53" s="487"/>
      <c r="C53" s="2126" t="s">
        <v>614</v>
      </c>
      <c r="D53" s="2127" t="s">
        <v>571</v>
      </c>
      <c r="E53" s="2128">
        <v>1808390</v>
      </c>
      <c r="F53" s="2128">
        <v>2085493</v>
      </c>
      <c r="G53" s="2129">
        <v>2079646.63</v>
      </c>
      <c r="H53" s="2130">
        <f t="shared" si="3"/>
        <v>0.99719664846633382</v>
      </c>
    </row>
    <row r="54" spans="1:8" s="444" customFormat="1" ht="15">
      <c r="A54" s="479"/>
      <c r="B54" s="487"/>
      <c r="C54" s="2131" t="s">
        <v>615</v>
      </c>
      <c r="D54" s="2132" t="s">
        <v>572</v>
      </c>
      <c r="E54" s="2133">
        <v>254520</v>
      </c>
      <c r="F54" s="2133">
        <v>215706</v>
      </c>
      <c r="G54" s="2134">
        <v>210464.19</v>
      </c>
      <c r="H54" s="2135">
        <f t="shared" si="3"/>
        <v>0.97569928513810467</v>
      </c>
    </row>
    <row r="55" spans="1:8" s="444" customFormat="1" ht="15">
      <c r="A55" s="477"/>
      <c r="B55" s="488"/>
      <c r="C55" s="2046" t="s">
        <v>616</v>
      </c>
      <c r="D55" s="2116" t="s">
        <v>572</v>
      </c>
      <c r="E55" s="2133">
        <v>145480</v>
      </c>
      <c r="F55" s="2133">
        <v>122032</v>
      </c>
      <c r="G55" s="2134">
        <v>120298.35</v>
      </c>
      <c r="H55" s="2135">
        <f t="shared" si="3"/>
        <v>0.98579348039858405</v>
      </c>
    </row>
    <row r="56" spans="1:8" s="444" customFormat="1" ht="15">
      <c r="A56" s="477"/>
      <c r="B56" s="488"/>
      <c r="C56" s="2136" t="s">
        <v>617</v>
      </c>
      <c r="D56" s="2137" t="s">
        <v>573</v>
      </c>
      <c r="E56" s="2138">
        <v>604485</v>
      </c>
      <c r="F56" s="2138">
        <v>648390</v>
      </c>
      <c r="G56" s="2139">
        <v>647163.07999999996</v>
      </c>
      <c r="H56" s="2140">
        <f t="shared" si="3"/>
        <v>0.99810774379617195</v>
      </c>
    </row>
    <row r="57" spans="1:8" s="444" customFormat="1" ht="15">
      <c r="A57" s="477"/>
      <c r="B57" s="488"/>
      <c r="C57" s="2046" t="s">
        <v>618</v>
      </c>
      <c r="D57" s="2116" t="s">
        <v>573</v>
      </c>
      <c r="E57" s="481">
        <v>345515</v>
      </c>
      <c r="F57" s="481">
        <v>370610</v>
      </c>
      <c r="G57" s="604">
        <v>369910.34</v>
      </c>
      <c r="H57" s="2140">
        <f t="shared" si="3"/>
        <v>0.9981121394457787</v>
      </c>
    </row>
    <row r="58" spans="1:8" s="444" customFormat="1" ht="15">
      <c r="A58" s="477"/>
      <c r="B58" s="488"/>
      <c r="C58" s="2141" t="s">
        <v>619</v>
      </c>
      <c r="D58" s="2142" t="s">
        <v>574</v>
      </c>
      <c r="E58" s="2143">
        <v>89082</v>
      </c>
      <c r="F58" s="2143">
        <v>86797</v>
      </c>
      <c r="G58" s="2144">
        <v>83299.19</v>
      </c>
      <c r="H58" s="2145">
        <f t="shared" si="3"/>
        <v>0.9597012569558856</v>
      </c>
    </row>
    <row r="59" spans="1:8" s="444" customFormat="1" ht="15">
      <c r="A59" s="477"/>
      <c r="B59" s="488"/>
      <c r="C59" s="2146" t="s">
        <v>620</v>
      </c>
      <c r="D59" s="2147" t="s">
        <v>574</v>
      </c>
      <c r="E59" s="2148">
        <v>50918</v>
      </c>
      <c r="F59" s="2148">
        <v>49973</v>
      </c>
      <c r="G59" s="2149">
        <v>47613.56</v>
      </c>
      <c r="H59" s="2150">
        <f t="shared" si="3"/>
        <v>0.95278570428031129</v>
      </c>
    </row>
    <row r="60" spans="1:8" s="444" customFormat="1" ht="15">
      <c r="A60" s="477"/>
      <c r="B60" s="488"/>
      <c r="C60" s="2151" t="s">
        <v>621</v>
      </c>
      <c r="D60" s="2152" t="s">
        <v>575</v>
      </c>
      <c r="E60" s="2153">
        <v>6363</v>
      </c>
      <c r="F60" s="2153">
        <v>23543</v>
      </c>
      <c r="G60" s="2154">
        <v>19839.2</v>
      </c>
      <c r="H60" s="2155">
        <f t="shared" si="3"/>
        <v>0.84267935267383087</v>
      </c>
    </row>
    <row r="61" spans="1:8" s="444" customFormat="1" ht="15">
      <c r="A61" s="477"/>
      <c r="B61" s="488"/>
      <c r="C61" s="2156" t="s">
        <v>622</v>
      </c>
      <c r="D61" s="2157" t="s">
        <v>575</v>
      </c>
      <c r="E61" s="2158">
        <v>3637</v>
      </c>
      <c r="F61" s="2158">
        <v>13457</v>
      </c>
      <c r="G61" s="2159">
        <v>11339.88</v>
      </c>
      <c r="H61" s="2160">
        <f t="shared" si="3"/>
        <v>0.84267518763468818</v>
      </c>
    </row>
    <row r="62" spans="1:8" s="444" customFormat="1" ht="15">
      <c r="A62" s="477"/>
      <c r="B62" s="488"/>
      <c r="C62" s="2161" t="s">
        <v>623</v>
      </c>
      <c r="D62" s="2162" t="s">
        <v>624</v>
      </c>
      <c r="E62" s="2163">
        <v>190890</v>
      </c>
      <c r="F62" s="2163">
        <v>31814</v>
      </c>
      <c r="G62" s="2164">
        <v>28613.11</v>
      </c>
      <c r="H62" s="2165">
        <f t="shared" si="3"/>
        <v>0.89938737662664237</v>
      </c>
    </row>
    <row r="63" spans="1:8" s="444" customFormat="1" ht="15">
      <c r="A63" s="477"/>
      <c r="B63" s="488"/>
      <c r="C63" s="2166" t="s">
        <v>625</v>
      </c>
      <c r="D63" s="2167" t="s">
        <v>624</v>
      </c>
      <c r="E63" s="2168">
        <v>109110</v>
      </c>
      <c r="F63" s="2168">
        <v>18182</v>
      </c>
      <c r="G63" s="2169">
        <v>16354.89</v>
      </c>
      <c r="H63" s="2170">
        <f t="shared" si="3"/>
        <v>0.89950995490045094</v>
      </c>
    </row>
    <row r="64" spans="1:8" s="444" customFormat="1" ht="15">
      <c r="A64" s="477"/>
      <c r="B64" s="488"/>
      <c r="C64" s="2171" t="s">
        <v>626</v>
      </c>
      <c r="D64" s="2172" t="s">
        <v>579</v>
      </c>
      <c r="E64" s="2173">
        <v>463226</v>
      </c>
      <c r="F64" s="2173">
        <v>193432</v>
      </c>
      <c r="G64" s="2174">
        <v>183800.64</v>
      </c>
      <c r="H64" s="2175">
        <f t="shared" si="3"/>
        <v>0.95020803176310031</v>
      </c>
    </row>
    <row r="65" spans="1:8" s="444" customFormat="1" ht="15">
      <c r="A65" s="477"/>
      <c r="B65" s="488"/>
      <c r="C65" s="2176" t="s">
        <v>627</v>
      </c>
      <c r="D65" s="2177" t="s">
        <v>579</v>
      </c>
      <c r="E65" s="2178">
        <v>264774</v>
      </c>
      <c r="F65" s="2178">
        <v>110568</v>
      </c>
      <c r="G65" s="2179">
        <v>105058.48</v>
      </c>
      <c r="H65" s="2180">
        <f t="shared" si="3"/>
        <v>0.95017075464872292</v>
      </c>
    </row>
    <row r="66" spans="1:8" s="444" customFormat="1" ht="15">
      <c r="A66" s="477"/>
      <c r="B66" s="488"/>
      <c r="C66" s="2181" t="s">
        <v>628</v>
      </c>
      <c r="D66" s="2182" t="s">
        <v>582</v>
      </c>
      <c r="E66" s="2183">
        <v>13362</v>
      </c>
      <c r="F66" s="2183">
        <v>6999</v>
      </c>
      <c r="G66" s="2184">
        <v>4142.09</v>
      </c>
      <c r="H66" s="2185">
        <f t="shared" si="3"/>
        <v>0.59181168738391199</v>
      </c>
    </row>
    <row r="67" spans="1:8" s="444" customFormat="1" ht="15">
      <c r="A67" s="477"/>
      <c r="B67" s="488"/>
      <c r="C67" s="2186" t="s">
        <v>629</v>
      </c>
      <c r="D67" s="2187" t="s">
        <v>582</v>
      </c>
      <c r="E67" s="2188">
        <v>7638</v>
      </c>
      <c r="F67" s="2188">
        <v>4001</v>
      </c>
      <c r="G67" s="2189">
        <v>2367.63</v>
      </c>
      <c r="H67" s="2190">
        <f t="shared" si="3"/>
        <v>0.59175956010997255</v>
      </c>
    </row>
    <row r="68" spans="1:8" s="444" customFormat="1" ht="15">
      <c r="A68" s="477"/>
      <c r="B68" s="488"/>
      <c r="C68" s="2191" t="s">
        <v>630</v>
      </c>
      <c r="D68" s="2192" t="s">
        <v>584</v>
      </c>
      <c r="E68" s="2193">
        <v>747652</v>
      </c>
      <c r="F68" s="2193">
        <v>433957</v>
      </c>
      <c r="G68" s="2194">
        <v>423159.42</v>
      </c>
      <c r="H68" s="2195">
        <f t="shared" si="3"/>
        <v>0.97511831817438133</v>
      </c>
    </row>
    <row r="69" spans="1:8" s="444" customFormat="1" ht="15">
      <c r="A69" s="477"/>
      <c r="B69" s="488"/>
      <c r="C69" s="2196" t="s">
        <v>631</v>
      </c>
      <c r="D69" s="2197" t="s">
        <v>584</v>
      </c>
      <c r="E69" s="2198">
        <v>427348</v>
      </c>
      <c r="F69" s="2198">
        <v>248044</v>
      </c>
      <c r="G69" s="2199">
        <v>241872.04</v>
      </c>
      <c r="H69" s="2200">
        <f t="shared" si="3"/>
        <v>0.97511747915692382</v>
      </c>
    </row>
    <row r="70" spans="1:8" s="444" customFormat="1" ht="15">
      <c r="A70" s="477"/>
      <c r="B70" s="488"/>
      <c r="C70" s="2191" t="s">
        <v>759</v>
      </c>
      <c r="D70" s="2192" t="s">
        <v>1100</v>
      </c>
      <c r="E70" s="2193">
        <v>3181</v>
      </c>
      <c r="F70" s="2193">
        <v>0</v>
      </c>
      <c r="G70" s="2194">
        <v>0</v>
      </c>
      <c r="H70" s="2195"/>
    </row>
    <row r="71" spans="1:8" s="444" customFormat="1" ht="15">
      <c r="A71" s="477"/>
      <c r="B71" s="488"/>
      <c r="C71" s="2196" t="s">
        <v>761</v>
      </c>
      <c r="D71" s="2192" t="s">
        <v>1100</v>
      </c>
      <c r="E71" s="2198">
        <v>1819</v>
      </c>
      <c r="F71" s="2198">
        <v>0</v>
      </c>
      <c r="G71" s="2199">
        <v>0</v>
      </c>
      <c r="H71" s="2200"/>
    </row>
    <row r="72" spans="1:8" s="444" customFormat="1" ht="15">
      <c r="A72" s="477"/>
      <c r="B72" s="488"/>
      <c r="C72" s="2201" t="s">
        <v>632</v>
      </c>
      <c r="D72" s="2202" t="s">
        <v>589</v>
      </c>
      <c r="E72" s="2203">
        <v>10817</v>
      </c>
      <c r="F72" s="2203">
        <v>11453</v>
      </c>
      <c r="G72" s="2204">
        <v>9177.06</v>
      </c>
      <c r="H72" s="2205">
        <f t="shared" si="3"/>
        <v>0.80128001397013882</v>
      </c>
    </row>
    <row r="73" spans="1:8" s="444" customFormat="1" ht="15">
      <c r="A73" s="477"/>
      <c r="B73" s="488"/>
      <c r="C73" s="2206" t="s">
        <v>633</v>
      </c>
      <c r="D73" s="2207" t="s">
        <v>589</v>
      </c>
      <c r="E73" s="2208">
        <v>6183</v>
      </c>
      <c r="F73" s="2208">
        <v>6547</v>
      </c>
      <c r="G73" s="2209">
        <v>5245.74</v>
      </c>
      <c r="H73" s="2210">
        <f t="shared" si="3"/>
        <v>0.80124331755002287</v>
      </c>
    </row>
    <row r="74" spans="1:8" s="444" customFormat="1" ht="15">
      <c r="A74" s="477"/>
      <c r="B74" s="488"/>
      <c r="C74" s="2211" t="s">
        <v>634</v>
      </c>
      <c r="D74" s="2212" t="s">
        <v>592</v>
      </c>
      <c r="E74" s="2213">
        <v>12726</v>
      </c>
      <c r="F74" s="2213">
        <v>3182</v>
      </c>
      <c r="G74" s="2214">
        <v>3152.07</v>
      </c>
      <c r="H74" s="2215">
        <f t="shared" si="3"/>
        <v>0.99059396605908234</v>
      </c>
    </row>
    <row r="75" spans="1:8" s="444" customFormat="1" ht="15">
      <c r="A75" s="477"/>
      <c r="B75" s="488"/>
      <c r="C75" s="2216" t="s">
        <v>635</v>
      </c>
      <c r="D75" s="2217" t="s">
        <v>592</v>
      </c>
      <c r="E75" s="2218">
        <v>7274</v>
      </c>
      <c r="F75" s="2218">
        <v>1818</v>
      </c>
      <c r="G75" s="2219">
        <v>1801.68</v>
      </c>
      <c r="H75" s="2220">
        <f t="shared" si="3"/>
        <v>0.99102310231023105</v>
      </c>
    </row>
    <row r="76" spans="1:8" s="444" customFormat="1" ht="15.75" customHeight="1">
      <c r="A76" s="477"/>
      <c r="B76" s="488"/>
      <c r="C76" s="2221" t="s">
        <v>636</v>
      </c>
      <c r="D76" s="2222" t="s">
        <v>600</v>
      </c>
      <c r="E76" s="2223">
        <v>21634</v>
      </c>
      <c r="F76" s="2223">
        <v>20998</v>
      </c>
      <c r="G76" s="2224">
        <v>19953.689999999999</v>
      </c>
      <c r="H76" s="2225">
        <f t="shared" si="3"/>
        <v>0.95026621583007898</v>
      </c>
    </row>
    <row r="77" spans="1:8" s="444" customFormat="1" ht="15" customHeight="1">
      <c r="A77" s="477"/>
      <c r="B77" s="488"/>
      <c r="C77" s="2226" t="s">
        <v>637</v>
      </c>
      <c r="D77" s="2227" t="s">
        <v>600</v>
      </c>
      <c r="E77" s="2228">
        <v>12366</v>
      </c>
      <c r="F77" s="2228">
        <v>12002</v>
      </c>
      <c r="G77" s="2229">
        <v>11405.31</v>
      </c>
      <c r="H77" s="2230">
        <f t="shared" si="3"/>
        <v>0.95028411931344769</v>
      </c>
    </row>
    <row r="78" spans="1:8" s="444" customFormat="1" ht="15">
      <c r="A78" s="477"/>
      <c r="B78" s="488"/>
      <c r="C78" s="2231" t="s">
        <v>638</v>
      </c>
      <c r="D78" s="2232" t="s">
        <v>576</v>
      </c>
      <c r="E78" s="2233">
        <v>25452</v>
      </c>
      <c r="F78" s="2233">
        <v>14445</v>
      </c>
      <c r="G78" s="2234">
        <v>13171.02</v>
      </c>
      <c r="H78" s="2235">
        <f t="shared" si="3"/>
        <v>0.91180477673935623</v>
      </c>
    </row>
    <row r="79" spans="1:8" s="444" customFormat="1" ht="15.75" thickBot="1">
      <c r="A79" s="502"/>
      <c r="B79" s="489"/>
      <c r="C79" s="2236" t="s">
        <v>639</v>
      </c>
      <c r="D79" s="2237" t="s">
        <v>576</v>
      </c>
      <c r="E79" s="2238">
        <v>14548</v>
      </c>
      <c r="F79" s="2238">
        <v>8255</v>
      </c>
      <c r="G79" s="2239">
        <v>7528.75</v>
      </c>
      <c r="H79" s="2240">
        <f t="shared" si="3"/>
        <v>0.91202301635372507</v>
      </c>
    </row>
    <row r="80" spans="1:8" s="444" customFormat="1" ht="15" customHeight="1" thickBot="1">
      <c r="A80" s="500"/>
      <c r="B80" s="2048" t="s">
        <v>35</v>
      </c>
      <c r="C80" s="2049"/>
      <c r="D80" s="2050" t="s">
        <v>36</v>
      </c>
      <c r="E80" s="2051">
        <f>SUM(E81,E91)</f>
        <v>12000000</v>
      </c>
      <c r="F80" s="2051">
        <f>SUM(F81,F91)</f>
        <v>18930517</v>
      </c>
      <c r="G80" s="2052">
        <f>SUM(G81,G91)</f>
        <v>15655254.25</v>
      </c>
      <c r="H80" s="2242">
        <f t="shared" si="3"/>
        <v>0.82698503427032655</v>
      </c>
    </row>
    <row r="81" spans="1:10" s="444" customFormat="1" ht="15" customHeight="1">
      <c r="A81" s="477"/>
      <c r="B81" s="4832"/>
      <c r="C81" s="4846" t="s">
        <v>567</v>
      </c>
      <c r="D81" s="4846"/>
      <c r="E81" s="2246">
        <f>SUM(E82,E87)</f>
        <v>4255000</v>
      </c>
      <c r="F81" s="2246">
        <f>SUM(F82,F87)</f>
        <v>4485000</v>
      </c>
      <c r="G81" s="2247">
        <f>SUM(G82,G87)</f>
        <v>3794238.95</v>
      </c>
      <c r="H81" s="2264">
        <f t="shared" si="3"/>
        <v>0.8459841583054627</v>
      </c>
      <c r="J81" s="444" t="s">
        <v>570</v>
      </c>
    </row>
    <row r="82" spans="1:10" s="444" customFormat="1" ht="15" customHeight="1">
      <c r="A82" s="477"/>
      <c r="B82" s="4823"/>
      <c r="C82" s="4834" t="s">
        <v>568</v>
      </c>
      <c r="D82" s="4834"/>
      <c r="E82" s="2243">
        <f>SUM(E83)</f>
        <v>140000</v>
      </c>
      <c r="F82" s="2243">
        <f>SUM(F83)</f>
        <v>135000</v>
      </c>
      <c r="G82" s="2244">
        <f>SUM(G83)</f>
        <v>115624</v>
      </c>
      <c r="H82" s="2255">
        <f t="shared" si="3"/>
        <v>0.85647407407407405</v>
      </c>
    </row>
    <row r="83" spans="1:10" s="444" customFormat="1" ht="15" customHeight="1">
      <c r="A83" s="477"/>
      <c r="B83" s="4823"/>
      <c r="C83" s="4841" t="s">
        <v>577</v>
      </c>
      <c r="D83" s="4841"/>
      <c r="E83" s="2251">
        <f>SUM(E84:E85)</f>
        <v>140000</v>
      </c>
      <c r="F83" s="2251">
        <f>SUM(F84:F85)</f>
        <v>135000</v>
      </c>
      <c r="G83" s="2252">
        <f>SUM(G84:G85)</f>
        <v>115624</v>
      </c>
      <c r="H83" s="2255">
        <f t="shared" si="3"/>
        <v>0.85647407407407405</v>
      </c>
    </row>
    <row r="84" spans="1:10" s="444" customFormat="1" ht="15" customHeight="1">
      <c r="A84" s="477"/>
      <c r="B84" s="4823"/>
      <c r="C84" s="2265" t="s">
        <v>313</v>
      </c>
      <c r="D84" s="2266" t="s">
        <v>579</v>
      </c>
      <c r="E84" s="2249">
        <v>110000</v>
      </c>
      <c r="F84" s="2249">
        <v>105000</v>
      </c>
      <c r="G84" s="2250">
        <v>104996.8</v>
      </c>
      <c r="H84" s="2255">
        <f t="shared" si="3"/>
        <v>0.99996952380952386</v>
      </c>
    </row>
    <row r="85" spans="1:10" s="444" customFormat="1" ht="15" customHeight="1">
      <c r="A85" s="477"/>
      <c r="B85" s="4823"/>
      <c r="C85" s="2267" t="s">
        <v>312</v>
      </c>
      <c r="D85" s="2268" t="s">
        <v>584</v>
      </c>
      <c r="E85" s="2249">
        <v>30000</v>
      </c>
      <c r="F85" s="2249">
        <v>30000</v>
      </c>
      <c r="G85" s="2250">
        <v>10627.2</v>
      </c>
      <c r="H85" s="2255">
        <f t="shared" si="3"/>
        <v>0.35424</v>
      </c>
    </row>
    <row r="86" spans="1:10" s="444" customFormat="1" ht="15" customHeight="1">
      <c r="A86" s="479"/>
      <c r="B86" s="4823"/>
      <c r="C86" s="4842"/>
      <c r="D86" s="4843"/>
      <c r="E86" s="2269"/>
      <c r="F86" s="2270"/>
      <c r="G86" s="2271"/>
      <c r="H86" s="2272"/>
    </row>
    <row r="87" spans="1:10" s="444" customFormat="1" ht="15" customHeight="1">
      <c r="A87" s="477"/>
      <c r="B87" s="4823"/>
      <c r="C87" s="4834" t="s">
        <v>640</v>
      </c>
      <c r="D87" s="4834"/>
      <c r="E87" s="2249">
        <f>SUM(E88:E89)</f>
        <v>4115000</v>
      </c>
      <c r="F87" s="2249">
        <f>SUM(F88:F89)</f>
        <v>4350000</v>
      </c>
      <c r="G87" s="2250">
        <f>SUM(G88:G89)</f>
        <v>3678614.95</v>
      </c>
      <c r="H87" s="2273">
        <f>G87/F87</f>
        <v>0.84565860919540237</v>
      </c>
    </row>
    <row r="88" spans="1:10" s="444" customFormat="1" ht="40.5" customHeight="1">
      <c r="A88" s="477"/>
      <c r="B88" s="4823"/>
      <c r="C88" s="2265" t="s">
        <v>436</v>
      </c>
      <c r="D88" s="2266" t="s">
        <v>641</v>
      </c>
      <c r="E88" s="2249">
        <v>4065000</v>
      </c>
      <c r="F88" s="2249">
        <v>4300000</v>
      </c>
      <c r="G88" s="2250">
        <v>3659634.95</v>
      </c>
      <c r="H88" s="2273">
        <f>G88/F88</f>
        <v>0.85107789534883727</v>
      </c>
    </row>
    <row r="89" spans="1:10" s="444" customFormat="1" ht="38.25">
      <c r="A89" s="477"/>
      <c r="B89" s="4823"/>
      <c r="C89" s="2265" t="s">
        <v>253</v>
      </c>
      <c r="D89" s="2266" t="s">
        <v>642</v>
      </c>
      <c r="E89" s="2249">
        <v>50000</v>
      </c>
      <c r="F89" s="2249">
        <v>50000</v>
      </c>
      <c r="G89" s="2250">
        <v>18980</v>
      </c>
      <c r="H89" s="2273">
        <f>G89/F89</f>
        <v>0.37959999999999999</v>
      </c>
    </row>
    <row r="90" spans="1:10" s="444" customFormat="1" ht="15" customHeight="1">
      <c r="A90" s="477"/>
      <c r="B90" s="4823"/>
      <c r="C90" s="4835"/>
      <c r="D90" s="4836"/>
      <c r="E90" s="2249"/>
      <c r="F90" s="2275"/>
      <c r="G90" s="2276"/>
      <c r="H90" s="2272"/>
    </row>
    <row r="91" spans="1:10" s="444" customFormat="1" ht="15" customHeight="1">
      <c r="A91" s="477"/>
      <c r="B91" s="4823"/>
      <c r="C91" s="4837" t="s">
        <v>603</v>
      </c>
      <c r="D91" s="4837"/>
      <c r="E91" s="2277">
        <f>SUM(E92)</f>
        <v>7745000</v>
      </c>
      <c r="F91" s="2277">
        <f>SUM(F92)</f>
        <v>14445517</v>
      </c>
      <c r="G91" s="2278">
        <f>SUM(G92)</f>
        <v>11861015.300000001</v>
      </c>
      <c r="H91" s="2279">
        <f t="shared" ref="H91:H104" si="5">G91/F91</f>
        <v>0.82108624426526244</v>
      </c>
    </row>
    <row r="92" spans="1:10" s="444" customFormat="1" ht="15" customHeight="1">
      <c r="A92" s="477"/>
      <c r="B92" s="4823"/>
      <c r="C92" s="4838" t="s">
        <v>604</v>
      </c>
      <c r="D92" s="4838"/>
      <c r="E92" s="2249">
        <f>SUM(E93:E95)</f>
        <v>7745000</v>
      </c>
      <c r="F92" s="2249">
        <f>SUM(F93:F95)</f>
        <v>14445517</v>
      </c>
      <c r="G92" s="2250">
        <f>SUM(G93:G95)</f>
        <v>11861015.300000001</v>
      </c>
      <c r="H92" s="2273">
        <f t="shared" si="5"/>
        <v>0.82108624426526244</v>
      </c>
    </row>
    <row r="93" spans="1:10" s="444" customFormat="1" ht="15" customHeight="1">
      <c r="A93" s="477"/>
      <c r="B93" s="4823"/>
      <c r="C93" s="2265" t="s">
        <v>354</v>
      </c>
      <c r="D93" s="2266" t="s">
        <v>605</v>
      </c>
      <c r="E93" s="2249">
        <v>420000</v>
      </c>
      <c r="F93" s="2249">
        <v>425000</v>
      </c>
      <c r="G93" s="2250">
        <v>408101.71</v>
      </c>
      <c r="H93" s="2273">
        <f t="shared" si="5"/>
        <v>0.96023931764705883</v>
      </c>
    </row>
    <row r="94" spans="1:10" s="444" customFormat="1" ht="40.5" customHeight="1">
      <c r="A94" s="477"/>
      <c r="B94" s="4823"/>
      <c r="C94" s="2265" t="s">
        <v>431</v>
      </c>
      <c r="D94" s="2266" t="s">
        <v>643</v>
      </c>
      <c r="E94" s="2249">
        <v>7305000</v>
      </c>
      <c r="F94" s="2249">
        <v>14000517</v>
      </c>
      <c r="G94" s="2250">
        <v>11452913.59</v>
      </c>
      <c r="H94" s="2273">
        <f t="shared" si="5"/>
        <v>0.81803504756288636</v>
      </c>
    </row>
    <row r="95" spans="1:10" s="444" customFormat="1" ht="40.5" customHeight="1" thickBot="1">
      <c r="A95" s="479"/>
      <c r="B95" s="4840"/>
      <c r="C95" s="2281" t="s">
        <v>430</v>
      </c>
      <c r="D95" s="2282" t="s">
        <v>644</v>
      </c>
      <c r="E95" s="2249">
        <v>20000</v>
      </c>
      <c r="F95" s="2249">
        <v>20000</v>
      </c>
      <c r="G95" s="2250">
        <v>0</v>
      </c>
      <c r="H95" s="701">
        <f t="shared" si="5"/>
        <v>0</v>
      </c>
    </row>
    <row r="96" spans="1:10" s="444" customFormat="1" ht="15.75" customHeight="1" thickBot="1">
      <c r="A96" s="477"/>
      <c r="B96" s="2048" t="s">
        <v>43</v>
      </c>
      <c r="C96" s="2049"/>
      <c r="D96" s="2050" t="s">
        <v>44</v>
      </c>
      <c r="E96" s="2051">
        <f>SUM(E97)</f>
        <v>10240856</v>
      </c>
      <c r="F96" s="2051">
        <f>SUM(F97)</f>
        <v>9211175</v>
      </c>
      <c r="G96" s="2052">
        <f>SUM(G97)</f>
        <v>7901165.0099999998</v>
      </c>
      <c r="H96" s="2242">
        <f t="shared" si="5"/>
        <v>0.85778036026891247</v>
      </c>
    </row>
    <row r="97" spans="1:10" s="444" customFormat="1" ht="15.75" customHeight="1">
      <c r="A97" s="477"/>
      <c r="B97" s="2241"/>
      <c r="C97" s="4839" t="s">
        <v>567</v>
      </c>
      <c r="D97" s="4839"/>
      <c r="E97" s="2283">
        <f>SUM(E98,E114)</f>
        <v>10240856</v>
      </c>
      <c r="F97" s="2283">
        <f>SUM(F98,F114)</f>
        <v>9211175</v>
      </c>
      <c r="G97" s="2284">
        <f>SUM(G98,G114)</f>
        <v>7901165.0099999998</v>
      </c>
      <c r="H97" s="2285">
        <f t="shared" si="5"/>
        <v>0.85778036026891247</v>
      </c>
    </row>
    <row r="98" spans="1:10" s="444" customFormat="1" ht="15.75" customHeight="1">
      <c r="A98" s="477"/>
      <c r="B98" s="494"/>
      <c r="C98" s="4834" t="s">
        <v>568</v>
      </c>
      <c r="D98" s="4834"/>
      <c r="E98" s="2249">
        <f>SUM(E99,E106)</f>
        <v>6869356</v>
      </c>
      <c r="F98" s="2249">
        <f>SUM(F99,F106)</f>
        <v>5809675</v>
      </c>
      <c r="G98" s="2250">
        <f>SUM(G99,G106)</f>
        <v>4546907.09</v>
      </c>
      <c r="H98" s="2286">
        <f t="shared" si="5"/>
        <v>0.78264396717544438</v>
      </c>
    </row>
    <row r="99" spans="1:10" s="444" customFormat="1" ht="15.75" customHeight="1">
      <c r="A99" s="477"/>
      <c r="B99" s="494"/>
      <c r="C99" s="4865" t="s">
        <v>569</v>
      </c>
      <c r="D99" s="4866"/>
      <c r="E99" s="2251">
        <f>SUM(E100:E104)</f>
        <v>1844067</v>
      </c>
      <c r="F99" s="2251">
        <f>SUM(F100:F104)</f>
        <v>2079683</v>
      </c>
      <c r="G99" s="2252">
        <f>SUM(G100:G104)</f>
        <v>2018128.34</v>
      </c>
      <c r="H99" s="2286">
        <f t="shared" si="5"/>
        <v>0.97040190259765557</v>
      </c>
      <c r="J99" s="444" t="s">
        <v>645</v>
      </c>
    </row>
    <row r="100" spans="1:10" s="444" customFormat="1" ht="15.75" customHeight="1">
      <c r="A100" s="477"/>
      <c r="B100" s="494"/>
      <c r="C100" s="2253" t="s">
        <v>337</v>
      </c>
      <c r="D100" s="2254" t="s">
        <v>571</v>
      </c>
      <c r="E100" s="2249">
        <v>1449560</v>
      </c>
      <c r="F100" s="2249">
        <v>1645612</v>
      </c>
      <c r="G100" s="2250">
        <v>1608134.38</v>
      </c>
      <c r="H100" s="2286">
        <f t="shared" si="5"/>
        <v>0.9772257251405555</v>
      </c>
    </row>
    <row r="101" spans="1:10" s="444" customFormat="1" ht="15.75" customHeight="1">
      <c r="A101" s="477"/>
      <c r="B101" s="494"/>
      <c r="C101" s="2287" t="s">
        <v>336</v>
      </c>
      <c r="D101" s="2288" t="s">
        <v>572</v>
      </c>
      <c r="E101" s="2289">
        <v>94536</v>
      </c>
      <c r="F101" s="2289">
        <v>94536</v>
      </c>
      <c r="G101" s="2290">
        <v>93221.99</v>
      </c>
      <c r="H101" s="2291">
        <f t="shared" si="5"/>
        <v>0.98610042735042736</v>
      </c>
    </row>
    <row r="102" spans="1:10" s="444" customFormat="1" ht="15.75" customHeight="1">
      <c r="A102" s="477"/>
      <c r="B102" s="494"/>
      <c r="C102" s="2256" t="s">
        <v>315</v>
      </c>
      <c r="D102" s="2257" t="s">
        <v>573</v>
      </c>
      <c r="E102" s="2249">
        <v>254624</v>
      </c>
      <c r="F102" s="2249">
        <v>290868</v>
      </c>
      <c r="G102" s="2250">
        <v>278184.3</v>
      </c>
      <c r="H102" s="2291">
        <f t="shared" si="5"/>
        <v>0.95639362184908616</v>
      </c>
    </row>
    <row r="103" spans="1:10" s="444" customFormat="1" ht="15.75" customHeight="1">
      <c r="A103" s="477"/>
      <c r="B103" s="494"/>
      <c r="C103" s="2258" t="s">
        <v>314</v>
      </c>
      <c r="D103" s="2259" t="s">
        <v>574</v>
      </c>
      <c r="E103" s="2249">
        <v>40955</v>
      </c>
      <c r="F103" s="2249">
        <v>43125</v>
      </c>
      <c r="G103" s="2250">
        <v>35139.550000000003</v>
      </c>
      <c r="H103" s="2291">
        <f t="shared" si="5"/>
        <v>0.81483014492753625</v>
      </c>
    </row>
    <row r="104" spans="1:10" s="444" customFormat="1" ht="15.75" customHeight="1" thickBot="1">
      <c r="A104" s="501"/>
      <c r="B104" s="598"/>
      <c r="C104" s="2260" t="s">
        <v>335</v>
      </c>
      <c r="D104" s="2261" t="s">
        <v>576</v>
      </c>
      <c r="E104" s="2262">
        <v>4392</v>
      </c>
      <c r="F104" s="2262">
        <v>5542</v>
      </c>
      <c r="G104" s="2263">
        <v>3448.12</v>
      </c>
      <c r="H104" s="2245">
        <f t="shared" si="5"/>
        <v>0.62217971851317211</v>
      </c>
    </row>
    <row r="105" spans="1:10" s="444" customFormat="1" ht="15.75" customHeight="1">
      <c r="A105" s="2043"/>
      <c r="B105" s="2241"/>
      <c r="C105" s="4867"/>
      <c r="D105" s="4868"/>
      <c r="E105" s="2292"/>
      <c r="F105" s="2293"/>
      <c r="G105" s="2294"/>
      <c r="H105" s="2295"/>
    </row>
    <row r="106" spans="1:10" s="444" customFormat="1" ht="15.75" customHeight="1">
      <c r="A106" s="477"/>
      <c r="B106" s="494"/>
      <c r="C106" s="4869" t="s">
        <v>577</v>
      </c>
      <c r="D106" s="4869"/>
      <c r="E106" s="2300">
        <f>SUM(E107:E112)</f>
        <v>5025289</v>
      </c>
      <c r="F106" s="2300">
        <f>SUM(F107:F112)</f>
        <v>3729992</v>
      </c>
      <c r="G106" s="2301">
        <f>SUM(G107:G112)</f>
        <v>2528778.75</v>
      </c>
      <c r="H106" s="2302">
        <f t="shared" ref="H106:H112" si="6">G106/F106</f>
        <v>0.67795822350289225</v>
      </c>
      <c r="J106" s="444" t="s">
        <v>570</v>
      </c>
    </row>
    <row r="107" spans="1:10" s="444" customFormat="1" ht="15.75" customHeight="1">
      <c r="A107" s="477"/>
      <c r="B107" s="494"/>
      <c r="C107" s="2265" t="s">
        <v>334</v>
      </c>
      <c r="D107" s="2280" t="s">
        <v>624</v>
      </c>
      <c r="E107" s="2249">
        <v>34000</v>
      </c>
      <c r="F107" s="2249">
        <v>22500</v>
      </c>
      <c r="G107" s="2250">
        <v>15302.67</v>
      </c>
      <c r="H107" s="2302">
        <f t="shared" si="6"/>
        <v>0.68011866666666665</v>
      </c>
    </row>
    <row r="108" spans="1:10" s="444" customFormat="1" ht="15.75" customHeight="1">
      <c r="A108" s="479"/>
      <c r="B108" s="494"/>
      <c r="C108" s="2267" t="s">
        <v>313</v>
      </c>
      <c r="D108" s="2296" t="s">
        <v>579</v>
      </c>
      <c r="E108" s="2249">
        <v>77000</v>
      </c>
      <c r="F108" s="2249">
        <v>178451</v>
      </c>
      <c r="G108" s="2250">
        <v>173158</v>
      </c>
      <c r="H108" s="2302">
        <f t="shared" si="6"/>
        <v>0.97033919675429114</v>
      </c>
    </row>
    <row r="109" spans="1:10" s="444" customFormat="1" ht="15.75" customHeight="1">
      <c r="A109" s="477"/>
      <c r="B109" s="494"/>
      <c r="C109" s="2303" t="s">
        <v>312</v>
      </c>
      <c r="D109" s="2304" t="s">
        <v>584</v>
      </c>
      <c r="E109" s="2305">
        <f>209185+1225104</f>
        <v>1434289</v>
      </c>
      <c r="F109" s="2305">
        <v>204265</v>
      </c>
      <c r="G109" s="2306">
        <v>182689</v>
      </c>
      <c r="H109" s="2307">
        <f t="shared" si="6"/>
        <v>0.89437250630308662</v>
      </c>
      <c r="J109" s="444" t="s">
        <v>607</v>
      </c>
    </row>
    <row r="110" spans="1:10" s="444" customFormat="1" ht="15.75" customHeight="1">
      <c r="A110" s="477"/>
      <c r="B110" s="494"/>
      <c r="C110" s="2265" t="s">
        <v>327</v>
      </c>
      <c r="D110" s="2266" t="s">
        <v>586</v>
      </c>
      <c r="E110" s="2249">
        <v>208000</v>
      </c>
      <c r="F110" s="2249">
        <v>175000</v>
      </c>
      <c r="G110" s="2250">
        <v>15400</v>
      </c>
      <c r="H110" s="2307">
        <f t="shared" si="6"/>
        <v>8.7999999999999995E-2</v>
      </c>
    </row>
    <row r="111" spans="1:10" s="444" customFormat="1" ht="15.75" customHeight="1">
      <c r="A111" s="477"/>
      <c r="B111" s="494"/>
      <c r="C111" s="2265" t="s">
        <v>416</v>
      </c>
      <c r="D111" s="2266" t="s">
        <v>646</v>
      </c>
      <c r="E111" s="2249">
        <v>3267000</v>
      </c>
      <c r="F111" s="2249">
        <v>3144776</v>
      </c>
      <c r="G111" s="2250">
        <v>2141229.08</v>
      </c>
      <c r="H111" s="2307">
        <f t="shared" si="6"/>
        <v>0.6808844509116071</v>
      </c>
    </row>
    <row r="112" spans="1:10" s="444" customFormat="1" ht="15.75" customHeight="1">
      <c r="A112" s="477"/>
      <c r="B112" s="494"/>
      <c r="C112" s="2265" t="s">
        <v>647</v>
      </c>
      <c r="D112" s="2266" t="s">
        <v>648</v>
      </c>
      <c r="E112" s="2249">
        <v>5000</v>
      </c>
      <c r="F112" s="2249">
        <v>5000</v>
      </c>
      <c r="G112" s="2250">
        <v>1000</v>
      </c>
      <c r="H112" s="2307">
        <f t="shared" si="6"/>
        <v>0.2</v>
      </c>
    </row>
    <row r="113" spans="1:10" s="444" customFormat="1" ht="15.75" customHeight="1">
      <c r="A113" s="477"/>
      <c r="B113" s="494"/>
      <c r="C113" s="2297"/>
      <c r="D113" s="2298"/>
      <c r="E113" s="2249"/>
      <c r="F113" s="2275"/>
      <c r="G113" s="2276"/>
      <c r="H113" s="2308"/>
    </row>
    <row r="114" spans="1:10" s="444" customFormat="1" ht="15.75" customHeight="1">
      <c r="A114" s="479"/>
      <c r="B114" s="494"/>
      <c r="C114" s="4870" t="s">
        <v>640</v>
      </c>
      <c r="D114" s="4870"/>
      <c r="E114" s="2309">
        <f>SUM(E115)</f>
        <v>3371500</v>
      </c>
      <c r="F114" s="2309">
        <f>SUM(F115)</f>
        <v>3401500</v>
      </c>
      <c r="G114" s="2310">
        <f>SUM(G115)</f>
        <v>3354257.92</v>
      </c>
      <c r="H114" s="2311">
        <f t="shared" ref="H114:H147" si="7">G114/F114</f>
        <v>0.98611139791268554</v>
      </c>
    </row>
    <row r="115" spans="1:10" s="444" customFormat="1" ht="51.75" thickBot="1">
      <c r="A115" s="501"/>
      <c r="B115" s="598"/>
      <c r="C115" s="2299" t="s">
        <v>91</v>
      </c>
      <c r="D115" s="2282" t="s">
        <v>649</v>
      </c>
      <c r="E115" s="503">
        <v>3371500</v>
      </c>
      <c r="F115" s="503">
        <v>3401500</v>
      </c>
      <c r="G115" s="702">
        <v>3354257.92</v>
      </c>
      <c r="H115" s="2245">
        <f t="shared" si="7"/>
        <v>0.98611139791268554</v>
      </c>
      <c r="J115" s="444" t="s">
        <v>570</v>
      </c>
    </row>
    <row r="116" spans="1:10" s="444" customFormat="1" ht="16.5" customHeight="1" thickBot="1">
      <c r="A116" s="2312" t="s">
        <v>49</v>
      </c>
      <c r="B116" s="2313"/>
      <c r="C116" s="2314"/>
      <c r="D116" s="2315" t="s">
        <v>650</v>
      </c>
      <c r="E116" s="2316">
        <f t="shared" ref="E116:G118" si="8">SUM(E117)</f>
        <v>400000</v>
      </c>
      <c r="F116" s="2316">
        <f t="shared" si="8"/>
        <v>400000</v>
      </c>
      <c r="G116" s="2317">
        <f t="shared" si="8"/>
        <v>389614.95999999996</v>
      </c>
      <c r="H116" s="2318">
        <f t="shared" si="7"/>
        <v>0.97403739999999994</v>
      </c>
    </row>
    <row r="117" spans="1:10" s="444" customFormat="1" ht="39" thickBot="1">
      <c r="A117" s="500"/>
      <c r="B117" s="2048" t="s">
        <v>51</v>
      </c>
      <c r="C117" s="2049"/>
      <c r="D117" s="2050" t="s">
        <v>651</v>
      </c>
      <c r="E117" s="2051">
        <f t="shared" si="8"/>
        <v>400000</v>
      </c>
      <c r="F117" s="2051">
        <f t="shared" si="8"/>
        <v>400000</v>
      </c>
      <c r="G117" s="2052">
        <f t="shared" si="8"/>
        <v>389614.95999999996</v>
      </c>
      <c r="H117" s="2242">
        <f t="shared" si="7"/>
        <v>0.97403739999999994</v>
      </c>
    </row>
    <row r="118" spans="1:10" s="444" customFormat="1" ht="15" customHeight="1">
      <c r="A118" s="477"/>
      <c r="B118" s="4832"/>
      <c r="C118" s="4833" t="s">
        <v>567</v>
      </c>
      <c r="D118" s="4833"/>
      <c r="E118" s="2319">
        <f t="shared" si="8"/>
        <v>400000</v>
      </c>
      <c r="F118" s="2319">
        <f t="shared" si="8"/>
        <v>400000</v>
      </c>
      <c r="G118" s="2320">
        <f t="shared" si="8"/>
        <v>389614.95999999996</v>
      </c>
      <c r="H118" s="2321">
        <f t="shared" si="7"/>
        <v>0.97403739999999994</v>
      </c>
      <c r="J118" s="444" t="s">
        <v>607</v>
      </c>
    </row>
    <row r="119" spans="1:10" s="444" customFormat="1" ht="15" customHeight="1">
      <c r="A119" s="477"/>
      <c r="B119" s="4823"/>
      <c r="C119" s="4834" t="s">
        <v>608</v>
      </c>
      <c r="D119" s="4834"/>
      <c r="E119" s="2249">
        <f>SUM(E120:E141)</f>
        <v>400000</v>
      </c>
      <c r="F119" s="2249">
        <f>SUM(F120:F141)</f>
        <v>400000</v>
      </c>
      <c r="G119" s="2250">
        <f>SUM(G120:G141)</f>
        <v>389614.95999999996</v>
      </c>
      <c r="H119" s="2322">
        <f t="shared" si="7"/>
        <v>0.97403739999999994</v>
      </c>
    </row>
    <row r="120" spans="1:10" s="444" customFormat="1" ht="15" customHeight="1">
      <c r="A120" s="477"/>
      <c r="B120" s="4823"/>
      <c r="C120" s="2323" t="s">
        <v>613</v>
      </c>
      <c r="D120" s="2266" t="s">
        <v>571</v>
      </c>
      <c r="E120" s="2249">
        <v>157500</v>
      </c>
      <c r="F120" s="2249">
        <v>156825</v>
      </c>
      <c r="G120" s="2250">
        <v>156397.74</v>
      </c>
      <c r="H120" s="2322">
        <f t="shared" si="7"/>
        <v>0.99727556193208988</v>
      </c>
    </row>
    <row r="121" spans="1:10" s="444" customFormat="1" ht="15" customHeight="1">
      <c r="A121" s="477"/>
      <c r="B121" s="479"/>
      <c r="C121" s="2265" t="s">
        <v>614</v>
      </c>
      <c r="D121" s="2266" t="s">
        <v>571</v>
      </c>
      <c r="E121" s="2249">
        <v>52500</v>
      </c>
      <c r="F121" s="2249">
        <v>52275</v>
      </c>
      <c r="G121" s="2250">
        <v>52132.58</v>
      </c>
      <c r="H121" s="2322">
        <f t="shared" si="7"/>
        <v>0.99727556193208999</v>
      </c>
    </row>
    <row r="122" spans="1:10" s="444" customFormat="1" ht="15" customHeight="1">
      <c r="A122" s="477"/>
      <c r="B122" s="479"/>
      <c r="C122" s="2265" t="s">
        <v>615</v>
      </c>
      <c r="D122" s="2266" t="s">
        <v>572</v>
      </c>
      <c r="E122" s="2249">
        <v>26250</v>
      </c>
      <c r="F122" s="2249">
        <v>19500</v>
      </c>
      <c r="G122" s="2250">
        <v>19116.939999999999</v>
      </c>
      <c r="H122" s="2322">
        <f t="shared" si="7"/>
        <v>0.98035589743589735</v>
      </c>
    </row>
    <row r="123" spans="1:10" s="444" customFormat="1" ht="15" customHeight="1">
      <c r="A123" s="477"/>
      <c r="B123" s="479"/>
      <c r="C123" s="2265" t="s">
        <v>616</v>
      </c>
      <c r="D123" s="2266" t="s">
        <v>572</v>
      </c>
      <c r="E123" s="2249">
        <v>8750</v>
      </c>
      <c r="F123" s="2249">
        <v>6500</v>
      </c>
      <c r="G123" s="2250">
        <v>6372.31</v>
      </c>
      <c r="H123" s="2322">
        <f t="shared" si="7"/>
        <v>0.98035538461538463</v>
      </c>
    </row>
    <row r="124" spans="1:10" s="444" customFormat="1" ht="15" customHeight="1">
      <c r="A124" s="477"/>
      <c r="B124" s="479"/>
      <c r="C124" s="2265" t="s">
        <v>617</v>
      </c>
      <c r="D124" s="2266" t="s">
        <v>573</v>
      </c>
      <c r="E124" s="2249">
        <v>33750</v>
      </c>
      <c r="F124" s="2249">
        <v>29775</v>
      </c>
      <c r="G124" s="2250">
        <v>29672.14</v>
      </c>
      <c r="H124" s="2322">
        <f t="shared" si="7"/>
        <v>0.99654542401343404</v>
      </c>
    </row>
    <row r="125" spans="1:10" s="444" customFormat="1" ht="15" customHeight="1">
      <c r="A125" s="477"/>
      <c r="B125" s="479"/>
      <c r="C125" s="2265" t="s">
        <v>618</v>
      </c>
      <c r="D125" s="2266" t="s">
        <v>573</v>
      </c>
      <c r="E125" s="2249">
        <v>11250</v>
      </c>
      <c r="F125" s="2249">
        <v>9925</v>
      </c>
      <c r="G125" s="2250">
        <v>9890.8799999999992</v>
      </c>
      <c r="H125" s="2322">
        <f t="shared" si="7"/>
        <v>0.99656221662468503</v>
      </c>
    </row>
    <row r="126" spans="1:10" s="444" customFormat="1" ht="15" customHeight="1">
      <c r="A126" s="479"/>
      <c r="B126" s="479"/>
      <c r="C126" s="2267" t="s">
        <v>619</v>
      </c>
      <c r="D126" s="2268" t="s">
        <v>574</v>
      </c>
      <c r="E126" s="2249">
        <v>6000</v>
      </c>
      <c r="F126" s="2249">
        <v>3150</v>
      </c>
      <c r="G126" s="2250">
        <v>3052.96</v>
      </c>
      <c r="H126" s="2322">
        <f t="shared" si="7"/>
        <v>0.96919365079365083</v>
      </c>
    </row>
    <row r="127" spans="1:10" s="444" customFormat="1" ht="15" customHeight="1">
      <c r="A127" s="477"/>
      <c r="B127" s="479"/>
      <c r="C127" s="2323" t="s">
        <v>620</v>
      </c>
      <c r="D127" s="2324" t="s">
        <v>574</v>
      </c>
      <c r="E127" s="2325">
        <v>2000</v>
      </c>
      <c r="F127" s="2325">
        <v>1050</v>
      </c>
      <c r="G127" s="2326">
        <v>1017.6</v>
      </c>
      <c r="H127" s="2327">
        <f t="shared" si="7"/>
        <v>0.96914285714285719</v>
      </c>
    </row>
    <row r="128" spans="1:10" s="444" customFormat="1" ht="15" customHeight="1">
      <c r="A128" s="477"/>
      <c r="B128" s="479"/>
      <c r="C128" s="2265" t="s">
        <v>626</v>
      </c>
      <c r="D128" s="2266" t="s">
        <v>579</v>
      </c>
      <c r="E128" s="2249">
        <v>54750</v>
      </c>
      <c r="F128" s="2249">
        <v>73125</v>
      </c>
      <c r="G128" s="2250">
        <v>67874.039999999994</v>
      </c>
      <c r="H128" s="2327">
        <f t="shared" si="7"/>
        <v>0.92819199999999991</v>
      </c>
    </row>
    <row r="129" spans="1:13" s="444" customFormat="1" ht="15" customHeight="1">
      <c r="A129" s="477"/>
      <c r="B129" s="479"/>
      <c r="C129" s="2265" t="s">
        <v>627</v>
      </c>
      <c r="D129" s="2266" t="s">
        <v>579</v>
      </c>
      <c r="E129" s="2249">
        <v>18250</v>
      </c>
      <c r="F129" s="2249">
        <v>24375</v>
      </c>
      <c r="G129" s="2250">
        <v>22624.73</v>
      </c>
      <c r="H129" s="2327">
        <f t="shared" si="7"/>
        <v>0.92819405128205124</v>
      </c>
    </row>
    <row r="130" spans="1:13" s="444" customFormat="1" ht="15" customHeight="1">
      <c r="A130" s="477"/>
      <c r="B130" s="479"/>
      <c r="C130" s="2265" t="s">
        <v>628</v>
      </c>
      <c r="D130" s="2266" t="s">
        <v>582</v>
      </c>
      <c r="E130" s="2249">
        <v>2250</v>
      </c>
      <c r="F130" s="2249">
        <v>525</v>
      </c>
      <c r="G130" s="2250">
        <v>166.49</v>
      </c>
      <c r="H130" s="2327">
        <f t="shared" si="7"/>
        <v>0.31712380952380953</v>
      </c>
      <c r="M130" s="444">
        <v>0</v>
      </c>
    </row>
    <row r="131" spans="1:13" s="444" customFormat="1" ht="15" customHeight="1">
      <c r="A131" s="477"/>
      <c r="B131" s="479"/>
      <c r="C131" s="2265" t="s">
        <v>629</v>
      </c>
      <c r="D131" s="2266" t="s">
        <v>582</v>
      </c>
      <c r="E131" s="2249">
        <v>750</v>
      </c>
      <c r="F131" s="2249">
        <v>175</v>
      </c>
      <c r="G131" s="2250">
        <v>55.51</v>
      </c>
      <c r="H131" s="2327">
        <f t="shared" si="7"/>
        <v>0.31719999999999998</v>
      </c>
    </row>
    <row r="132" spans="1:13" s="444" customFormat="1" ht="15" customHeight="1" thickBot="1">
      <c r="A132" s="501"/>
      <c r="B132" s="502"/>
      <c r="C132" s="2281" t="s">
        <v>630</v>
      </c>
      <c r="D132" s="2282" t="s">
        <v>584</v>
      </c>
      <c r="E132" s="503">
        <v>13500</v>
      </c>
      <c r="F132" s="503">
        <v>14250</v>
      </c>
      <c r="G132" s="702">
        <v>13563.56</v>
      </c>
      <c r="H132" s="2245">
        <f t="shared" si="7"/>
        <v>0.95182877192982451</v>
      </c>
    </row>
    <row r="133" spans="1:13" s="444" customFormat="1" ht="15" customHeight="1">
      <c r="A133" s="500"/>
      <c r="B133" s="2043"/>
      <c r="C133" s="2328" t="s">
        <v>631</v>
      </c>
      <c r="D133" s="2329" t="s">
        <v>584</v>
      </c>
      <c r="E133" s="2330">
        <v>4500</v>
      </c>
      <c r="F133" s="2330">
        <v>4750</v>
      </c>
      <c r="G133" s="2331">
        <v>4521.1899999999996</v>
      </c>
      <c r="H133" s="2332">
        <f t="shared" si="7"/>
        <v>0.95182947368421045</v>
      </c>
    </row>
    <row r="134" spans="1:13" s="444" customFormat="1" ht="15" customHeight="1">
      <c r="A134" s="477"/>
      <c r="B134" s="479"/>
      <c r="C134" s="2265" t="s">
        <v>632</v>
      </c>
      <c r="D134" s="2266" t="s">
        <v>589</v>
      </c>
      <c r="E134" s="2249">
        <v>1500</v>
      </c>
      <c r="F134" s="2249">
        <v>0</v>
      </c>
      <c r="G134" s="2250">
        <v>0</v>
      </c>
      <c r="H134" s="2333"/>
    </row>
    <row r="135" spans="1:13" s="444" customFormat="1" ht="15" customHeight="1">
      <c r="A135" s="477"/>
      <c r="B135" s="479"/>
      <c r="C135" s="2265" t="s">
        <v>633</v>
      </c>
      <c r="D135" s="2266" t="s">
        <v>589</v>
      </c>
      <c r="E135" s="2249">
        <v>500</v>
      </c>
      <c r="F135" s="2249">
        <v>0</v>
      </c>
      <c r="G135" s="2250">
        <v>0</v>
      </c>
      <c r="H135" s="2333"/>
    </row>
    <row r="136" spans="1:13" s="444" customFormat="1" ht="15" customHeight="1">
      <c r="A136" s="477"/>
      <c r="B136" s="479"/>
      <c r="C136" s="2265" t="s">
        <v>634</v>
      </c>
      <c r="D136" s="2266" t="s">
        <v>592</v>
      </c>
      <c r="E136" s="2249">
        <v>750</v>
      </c>
      <c r="F136" s="2249">
        <v>225</v>
      </c>
      <c r="G136" s="2250">
        <v>191.43</v>
      </c>
      <c r="H136" s="2327">
        <f t="shared" si="7"/>
        <v>0.8508</v>
      </c>
    </row>
    <row r="137" spans="1:13" s="444" customFormat="1" ht="15" customHeight="1">
      <c r="A137" s="479"/>
      <c r="B137" s="479"/>
      <c r="C137" s="2267" t="s">
        <v>635</v>
      </c>
      <c r="D137" s="2268" t="s">
        <v>592</v>
      </c>
      <c r="E137" s="2249">
        <v>250</v>
      </c>
      <c r="F137" s="2249">
        <v>75</v>
      </c>
      <c r="G137" s="2250">
        <v>63.82</v>
      </c>
      <c r="H137" s="2327">
        <f t="shared" si="7"/>
        <v>0.85093333333333332</v>
      </c>
    </row>
    <row r="138" spans="1:13" s="444" customFormat="1" ht="15" customHeight="1">
      <c r="A138" s="477"/>
      <c r="B138" s="479"/>
      <c r="C138" s="2265" t="s">
        <v>636</v>
      </c>
      <c r="D138" s="2266" t="s">
        <v>600</v>
      </c>
      <c r="E138" s="2249">
        <v>2250</v>
      </c>
      <c r="F138" s="2249">
        <v>1875</v>
      </c>
      <c r="G138" s="2250">
        <v>1560</v>
      </c>
      <c r="H138" s="2327">
        <f t="shared" si="7"/>
        <v>0.83199999999999996</v>
      </c>
    </row>
    <row r="139" spans="1:13" s="444" customFormat="1" ht="14.25" customHeight="1">
      <c r="A139" s="477"/>
      <c r="B139" s="479"/>
      <c r="C139" s="2265" t="s">
        <v>637</v>
      </c>
      <c r="D139" s="2266" t="s">
        <v>600</v>
      </c>
      <c r="E139" s="2249">
        <v>750</v>
      </c>
      <c r="F139" s="2249">
        <v>625</v>
      </c>
      <c r="G139" s="2250">
        <v>520</v>
      </c>
      <c r="H139" s="2327">
        <f t="shared" si="7"/>
        <v>0.83199999999999996</v>
      </c>
    </row>
    <row r="140" spans="1:13" s="444" customFormat="1" ht="15" customHeight="1">
      <c r="A140" s="477"/>
      <c r="B140" s="479"/>
      <c r="C140" s="2265" t="s">
        <v>638</v>
      </c>
      <c r="D140" s="2334" t="s">
        <v>576</v>
      </c>
      <c r="E140" s="2249">
        <v>1500</v>
      </c>
      <c r="F140" s="2249">
        <v>750</v>
      </c>
      <c r="G140" s="2250">
        <v>615.79999999999995</v>
      </c>
      <c r="H140" s="2327">
        <f t="shared" si="7"/>
        <v>0.82106666666666661</v>
      </c>
    </row>
    <row r="141" spans="1:13" s="444" customFormat="1" ht="15" customHeight="1" thickBot="1">
      <c r="A141" s="501"/>
      <c r="B141" s="502"/>
      <c r="C141" s="2281" t="s">
        <v>639</v>
      </c>
      <c r="D141" s="2282" t="s">
        <v>576</v>
      </c>
      <c r="E141" s="503">
        <v>500</v>
      </c>
      <c r="F141" s="503">
        <v>250</v>
      </c>
      <c r="G141" s="702">
        <v>205.24</v>
      </c>
      <c r="H141" s="701">
        <f t="shared" si="7"/>
        <v>0.82096000000000002</v>
      </c>
    </row>
    <row r="142" spans="1:13" s="506" customFormat="1" ht="16.5" customHeight="1" thickBot="1">
      <c r="A142" s="2335" t="s">
        <v>61</v>
      </c>
      <c r="B142" s="2336"/>
      <c r="C142" s="2337"/>
      <c r="D142" s="2338" t="s">
        <v>652</v>
      </c>
      <c r="E142" s="2339">
        <f>SUM(E143)</f>
        <v>4188107</v>
      </c>
      <c r="F142" s="2339">
        <f>SUM(F143)</f>
        <v>6435507</v>
      </c>
      <c r="G142" s="2340">
        <f>SUM(G143)</f>
        <v>6281855.9199999999</v>
      </c>
      <c r="H142" s="2341">
        <f t="shared" si="7"/>
        <v>0.97612447939222191</v>
      </c>
      <c r="J142" s="444"/>
    </row>
    <row r="143" spans="1:13" s="506" customFormat="1" ht="16.5" customHeight="1" thickBot="1">
      <c r="A143" s="507"/>
      <c r="B143" s="2343" t="s">
        <v>63</v>
      </c>
      <c r="C143" s="2344"/>
      <c r="D143" s="2345" t="s">
        <v>64</v>
      </c>
      <c r="E143" s="2346">
        <f>SUM(E144,E167)</f>
        <v>4188107</v>
      </c>
      <c r="F143" s="2051">
        <f>SUM(F144,F167)</f>
        <v>6435507</v>
      </c>
      <c r="G143" s="2052">
        <f>SUM(G144,G167)</f>
        <v>6281855.9199999999</v>
      </c>
      <c r="H143" s="2242">
        <f t="shared" si="7"/>
        <v>0.97612447939222191</v>
      </c>
      <c r="J143" s="444"/>
    </row>
    <row r="144" spans="1:13" s="506" customFormat="1" ht="15.75" customHeight="1">
      <c r="A144" s="512"/>
      <c r="B144" s="2342"/>
      <c r="C144" s="4849" t="s">
        <v>567</v>
      </c>
      <c r="D144" s="4849"/>
      <c r="E144" s="2363">
        <f>SUM(E145,E149)</f>
        <v>4188107</v>
      </c>
      <c r="F144" s="2364">
        <f>SUM(F145,F149)</f>
        <v>6369852</v>
      </c>
      <c r="G144" s="2365">
        <f>SUM(G145,G149)</f>
        <v>6216201.4299999997</v>
      </c>
      <c r="H144" s="2366">
        <f t="shared" si="7"/>
        <v>0.97587847095976477</v>
      </c>
      <c r="J144" s="444"/>
    </row>
    <row r="145" spans="1:10" s="506" customFormat="1" ht="15.75" customHeight="1">
      <c r="A145" s="512"/>
      <c r="B145" s="513"/>
      <c r="C145" s="4850" t="s">
        <v>640</v>
      </c>
      <c r="D145" s="4851"/>
      <c r="E145" s="2347">
        <f>SUM(E146:E147)</f>
        <v>107641</v>
      </c>
      <c r="F145" s="2249">
        <f>SUM(F146:F147)</f>
        <v>613316</v>
      </c>
      <c r="G145" s="2250">
        <f>SUM(G146:G147)</f>
        <v>606335.05000000005</v>
      </c>
      <c r="H145" s="2362">
        <f t="shared" si="7"/>
        <v>0.98861769463050053</v>
      </c>
      <c r="J145" s="444"/>
    </row>
    <row r="146" spans="1:10" s="506" customFormat="1" ht="59.25" customHeight="1">
      <c r="A146" s="512"/>
      <c r="B146" s="513"/>
      <c r="C146" s="2348" t="s">
        <v>611</v>
      </c>
      <c r="D146" s="2349" t="s">
        <v>653</v>
      </c>
      <c r="E146" s="2347">
        <v>107641</v>
      </c>
      <c r="F146" s="2249">
        <v>187990</v>
      </c>
      <c r="G146" s="2250">
        <v>181011.13</v>
      </c>
      <c r="H146" s="2362">
        <f t="shared" si="7"/>
        <v>0.96287637640300017</v>
      </c>
      <c r="J146" s="444" t="s">
        <v>654</v>
      </c>
    </row>
    <row r="147" spans="1:10" s="506" customFormat="1" ht="15" customHeight="1">
      <c r="A147" s="512"/>
      <c r="B147" s="513"/>
      <c r="C147" s="2350" t="s">
        <v>211</v>
      </c>
      <c r="D147" s="2349" t="s">
        <v>656</v>
      </c>
      <c r="E147" s="2347">
        <v>0</v>
      </c>
      <c r="F147" s="2249">
        <v>425326</v>
      </c>
      <c r="G147" s="2250">
        <v>425323.92</v>
      </c>
      <c r="H147" s="2362">
        <f t="shared" si="7"/>
        <v>0.99999510963355165</v>
      </c>
      <c r="J147" s="444"/>
    </row>
    <row r="148" spans="1:10" s="506" customFormat="1" ht="15" customHeight="1">
      <c r="A148" s="512"/>
      <c r="B148" s="513"/>
      <c r="C148" s="2351"/>
      <c r="D148" s="2352"/>
      <c r="E148" s="2347"/>
      <c r="F148" s="2249"/>
      <c r="G148" s="2250"/>
      <c r="H148" s="2362"/>
      <c r="J148" s="444"/>
    </row>
    <row r="149" spans="1:10" s="506" customFormat="1" ht="15" customHeight="1">
      <c r="A149" s="514"/>
      <c r="B149" s="513"/>
      <c r="C149" s="4852" t="s">
        <v>608</v>
      </c>
      <c r="D149" s="4852"/>
      <c r="E149" s="2367">
        <f>SUM(E150:E165)</f>
        <v>4080466</v>
      </c>
      <c r="F149" s="2367">
        <f>SUM(F150:F165)</f>
        <v>5756536</v>
      </c>
      <c r="G149" s="2368">
        <f>SUM(G150:G165)</f>
        <v>5609866.3799999999</v>
      </c>
      <c r="H149" s="2369">
        <f t="shared" ref="H149:H165" si="9">G149/F149</f>
        <v>0.97452120163931921</v>
      </c>
      <c r="J149" s="444"/>
    </row>
    <row r="150" spans="1:10" s="506" customFormat="1" ht="63.75">
      <c r="A150" s="512"/>
      <c r="B150" s="513"/>
      <c r="C150" s="2353" t="s">
        <v>143</v>
      </c>
      <c r="D150" s="2354" t="s">
        <v>653</v>
      </c>
      <c r="E150" s="2347">
        <v>4080466</v>
      </c>
      <c r="F150" s="2249">
        <v>5466932</v>
      </c>
      <c r="G150" s="2250">
        <v>5352476.22</v>
      </c>
      <c r="H150" s="2369">
        <f t="shared" si="9"/>
        <v>0.97906398323593558</v>
      </c>
      <c r="J150" s="444"/>
    </row>
    <row r="151" spans="1:10" s="506" customFormat="1">
      <c r="A151" s="512"/>
      <c r="B151" s="513"/>
      <c r="C151" s="2355" t="s">
        <v>655</v>
      </c>
      <c r="D151" s="2356" t="s">
        <v>656</v>
      </c>
      <c r="E151" s="2347">
        <v>0</v>
      </c>
      <c r="F151" s="2249">
        <v>67443</v>
      </c>
      <c r="G151" s="2250">
        <v>67442.3</v>
      </c>
      <c r="H151" s="2369">
        <f>G151/F151</f>
        <v>0.99998962086502685</v>
      </c>
      <c r="J151" s="444" t="s">
        <v>657</v>
      </c>
    </row>
    <row r="152" spans="1:10" s="506" customFormat="1" ht="15" customHeight="1">
      <c r="A152" s="512"/>
      <c r="B152" s="513"/>
      <c r="C152" s="2357" t="s">
        <v>613</v>
      </c>
      <c r="D152" s="2358" t="s">
        <v>571</v>
      </c>
      <c r="E152" s="2347">
        <v>0</v>
      </c>
      <c r="F152" s="2249">
        <v>94655</v>
      </c>
      <c r="G152" s="2250">
        <v>93690.87</v>
      </c>
      <c r="H152" s="2369">
        <f t="shared" si="9"/>
        <v>0.98981427288574286</v>
      </c>
      <c r="J152" s="444"/>
    </row>
    <row r="153" spans="1:10" s="506" customFormat="1" ht="15" customHeight="1">
      <c r="A153" s="512"/>
      <c r="B153" s="513"/>
      <c r="C153" s="2357" t="s">
        <v>614</v>
      </c>
      <c r="D153" s="2358" t="s">
        <v>571</v>
      </c>
      <c r="E153" s="2347">
        <v>0</v>
      </c>
      <c r="F153" s="2249">
        <v>23663</v>
      </c>
      <c r="G153" s="2250">
        <v>23422.73</v>
      </c>
      <c r="H153" s="2369">
        <f t="shared" si="9"/>
        <v>0.98984617335080083</v>
      </c>
      <c r="J153" s="444"/>
    </row>
    <row r="154" spans="1:10" s="506" customFormat="1" ht="15" customHeight="1">
      <c r="A154" s="512"/>
      <c r="B154" s="513"/>
      <c r="C154" s="2359" t="s">
        <v>617</v>
      </c>
      <c r="D154" s="2358" t="s">
        <v>573</v>
      </c>
      <c r="E154" s="2347">
        <v>0</v>
      </c>
      <c r="F154" s="2249">
        <v>15825</v>
      </c>
      <c r="G154" s="2250">
        <v>15566.66</v>
      </c>
      <c r="H154" s="2369">
        <f t="shared" si="9"/>
        <v>0.98367519747235388</v>
      </c>
      <c r="J154" s="444"/>
    </row>
    <row r="155" spans="1:10" s="506" customFormat="1" ht="15" customHeight="1">
      <c r="A155" s="512"/>
      <c r="B155" s="513"/>
      <c r="C155" s="2359" t="s">
        <v>618</v>
      </c>
      <c r="D155" s="2358" t="s">
        <v>573</v>
      </c>
      <c r="E155" s="2347">
        <v>0</v>
      </c>
      <c r="F155" s="2249">
        <v>3957</v>
      </c>
      <c r="G155" s="2250">
        <v>3891.66</v>
      </c>
      <c r="H155" s="2369">
        <f t="shared" si="9"/>
        <v>0.98348749052312356</v>
      </c>
      <c r="J155" s="444"/>
    </row>
    <row r="156" spans="1:10" s="506" customFormat="1" ht="18.75" customHeight="1" thickBot="1">
      <c r="A156" s="593"/>
      <c r="B156" s="616"/>
      <c r="C156" s="2360" t="s">
        <v>619</v>
      </c>
      <c r="D156" s="2361" t="s">
        <v>1098</v>
      </c>
      <c r="E156" s="567">
        <v>0</v>
      </c>
      <c r="F156" s="503">
        <v>2115</v>
      </c>
      <c r="G156" s="702">
        <v>2088.31</v>
      </c>
      <c r="H156" s="2245">
        <f t="shared" si="9"/>
        <v>0.98738061465721039</v>
      </c>
      <c r="J156" s="444"/>
    </row>
    <row r="157" spans="1:10" s="506" customFormat="1" ht="16.5" customHeight="1">
      <c r="A157" s="507"/>
      <c r="B157" s="2342"/>
      <c r="C157" s="2373" t="s">
        <v>620</v>
      </c>
      <c r="D157" s="2374" t="s">
        <v>1098</v>
      </c>
      <c r="E157" s="2375">
        <v>0</v>
      </c>
      <c r="F157" s="2376">
        <v>529</v>
      </c>
      <c r="G157" s="2377">
        <v>522.09</v>
      </c>
      <c r="H157" s="2378">
        <f t="shared" si="9"/>
        <v>0.98693761814744807</v>
      </c>
      <c r="J157" s="444"/>
    </row>
    <row r="158" spans="1:10" s="506" customFormat="1" ht="15" customHeight="1">
      <c r="A158" s="512"/>
      <c r="B158" s="513"/>
      <c r="C158" s="2359" t="s">
        <v>626</v>
      </c>
      <c r="D158" s="2370" t="s">
        <v>579</v>
      </c>
      <c r="E158" s="2347">
        <v>0</v>
      </c>
      <c r="F158" s="2249">
        <v>4270</v>
      </c>
      <c r="G158" s="2250">
        <v>4269.66</v>
      </c>
      <c r="H158" s="2372">
        <f t="shared" si="9"/>
        <v>0.99992037470725992</v>
      </c>
      <c r="J158" s="444"/>
    </row>
    <row r="159" spans="1:10" s="506" customFormat="1" ht="15" customHeight="1">
      <c r="A159" s="512"/>
      <c r="B159" s="513"/>
      <c r="C159" s="2359" t="s">
        <v>627</v>
      </c>
      <c r="D159" s="2370" t="s">
        <v>579</v>
      </c>
      <c r="E159" s="2347">
        <v>0</v>
      </c>
      <c r="F159" s="2249">
        <v>1068</v>
      </c>
      <c r="G159" s="2250">
        <v>1067.4100000000001</v>
      </c>
      <c r="H159" s="2372">
        <f t="shared" si="9"/>
        <v>0.99944756554307124</v>
      </c>
      <c r="J159" s="444"/>
    </row>
    <row r="160" spans="1:10" s="506" customFormat="1" ht="15" customHeight="1">
      <c r="A160" s="512"/>
      <c r="B160" s="513"/>
      <c r="C160" s="2359" t="s">
        <v>630</v>
      </c>
      <c r="D160" s="2370" t="s">
        <v>584</v>
      </c>
      <c r="E160" s="2347">
        <v>0</v>
      </c>
      <c r="F160" s="2249">
        <v>41066</v>
      </c>
      <c r="G160" s="2250">
        <v>19185.39</v>
      </c>
      <c r="H160" s="2372">
        <f t="shared" si="9"/>
        <v>0.4671842887059855</v>
      </c>
      <c r="J160" s="444"/>
    </row>
    <row r="161" spans="1:10" s="506" customFormat="1" ht="15" customHeight="1">
      <c r="A161" s="512"/>
      <c r="B161" s="513"/>
      <c r="C161" s="2359" t="s">
        <v>631</v>
      </c>
      <c r="D161" s="2370" t="s">
        <v>584</v>
      </c>
      <c r="E161" s="2347">
        <v>0</v>
      </c>
      <c r="F161" s="2249">
        <v>10266</v>
      </c>
      <c r="G161" s="2250">
        <v>4796.3599999999997</v>
      </c>
      <c r="H161" s="2372">
        <f t="shared" si="9"/>
        <v>0.46720826027664131</v>
      </c>
      <c r="J161" s="444"/>
    </row>
    <row r="162" spans="1:10" s="506" customFormat="1" ht="15" customHeight="1">
      <c r="A162" s="512"/>
      <c r="B162" s="513"/>
      <c r="C162" s="2359" t="s">
        <v>658</v>
      </c>
      <c r="D162" s="2370" t="s">
        <v>591</v>
      </c>
      <c r="E162" s="2347">
        <v>0</v>
      </c>
      <c r="F162" s="2249">
        <v>19398</v>
      </c>
      <c r="G162" s="2250">
        <v>16859.12</v>
      </c>
      <c r="H162" s="2372">
        <f t="shared" si="9"/>
        <v>0.86911640375296417</v>
      </c>
      <c r="J162" s="444"/>
    </row>
    <row r="163" spans="1:10" s="506" customFormat="1" ht="15" customHeight="1">
      <c r="A163" s="512"/>
      <c r="B163" s="513"/>
      <c r="C163" s="2359" t="s">
        <v>659</v>
      </c>
      <c r="D163" s="2370" t="s">
        <v>591</v>
      </c>
      <c r="E163" s="2347">
        <v>0</v>
      </c>
      <c r="F163" s="2249">
        <v>4849</v>
      </c>
      <c r="G163" s="2250">
        <v>4214.82</v>
      </c>
      <c r="H163" s="2372">
        <f t="shared" si="9"/>
        <v>0.86921427098370796</v>
      </c>
      <c r="J163" s="444"/>
    </row>
    <row r="164" spans="1:10" s="506" customFormat="1" ht="15" customHeight="1">
      <c r="A164" s="512"/>
      <c r="B164" s="513"/>
      <c r="C164" s="2359" t="s">
        <v>638</v>
      </c>
      <c r="D164" s="2371" t="s">
        <v>576</v>
      </c>
      <c r="E164" s="2347">
        <v>0</v>
      </c>
      <c r="F164" s="2249">
        <v>400</v>
      </c>
      <c r="G164" s="2250">
        <v>298.22000000000003</v>
      </c>
      <c r="H164" s="2372">
        <f t="shared" si="9"/>
        <v>0.74555000000000005</v>
      </c>
      <c r="J164" s="444"/>
    </row>
    <row r="165" spans="1:10" s="506" customFormat="1" ht="15" customHeight="1">
      <c r="A165" s="512"/>
      <c r="B165" s="513"/>
      <c r="C165" s="2359" t="s">
        <v>639</v>
      </c>
      <c r="D165" s="2371" t="s">
        <v>576</v>
      </c>
      <c r="E165" s="2347">
        <v>0</v>
      </c>
      <c r="F165" s="2249">
        <v>100</v>
      </c>
      <c r="G165" s="2250">
        <v>74.56</v>
      </c>
      <c r="H165" s="2372">
        <f t="shared" si="9"/>
        <v>0.74560000000000004</v>
      </c>
      <c r="J165" s="444"/>
    </row>
    <row r="166" spans="1:10" s="506" customFormat="1" ht="15" customHeight="1">
      <c r="A166" s="512"/>
      <c r="B166" s="513"/>
      <c r="C166" s="4853"/>
      <c r="D166" s="4854"/>
      <c r="E166" s="2347"/>
      <c r="F166" s="2275"/>
      <c r="G166" s="2276"/>
      <c r="H166" s="2379"/>
      <c r="J166" s="444"/>
    </row>
    <row r="167" spans="1:10" s="506" customFormat="1" ht="15" customHeight="1">
      <c r="A167" s="512"/>
      <c r="B167" s="513"/>
      <c r="C167" s="4862" t="s">
        <v>603</v>
      </c>
      <c r="D167" s="4862"/>
      <c r="E167" s="2380">
        <f t="shared" ref="E167:G168" si="10">SUM(E168)</f>
        <v>0</v>
      </c>
      <c r="F167" s="2381">
        <f t="shared" si="10"/>
        <v>65655</v>
      </c>
      <c r="G167" s="2382">
        <f t="shared" si="10"/>
        <v>65654.490000000005</v>
      </c>
      <c r="H167" s="2383">
        <f t="shared" ref="H167:H182" si="11">G167/F167</f>
        <v>0.99999223212245836</v>
      </c>
      <c r="J167" s="444"/>
    </row>
    <row r="168" spans="1:10" s="506" customFormat="1" ht="15" customHeight="1">
      <c r="A168" s="512"/>
      <c r="B168" s="513"/>
      <c r="C168" s="4863" t="s">
        <v>604</v>
      </c>
      <c r="D168" s="4864"/>
      <c r="E168" s="2347">
        <f t="shared" si="10"/>
        <v>0</v>
      </c>
      <c r="F168" s="2249">
        <f t="shared" si="10"/>
        <v>65655</v>
      </c>
      <c r="G168" s="2250">
        <f t="shared" si="10"/>
        <v>65654.490000000005</v>
      </c>
      <c r="H168" s="2372">
        <f t="shared" si="11"/>
        <v>0.99999223212245836</v>
      </c>
      <c r="J168" s="444"/>
    </row>
    <row r="169" spans="1:10" s="506" customFormat="1" ht="55.5" customHeight="1" thickBot="1">
      <c r="A169" s="514"/>
      <c r="B169" s="616"/>
      <c r="C169" s="2384" t="s">
        <v>660</v>
      </c>
      <c r="D169" s="2385" t="s">
        <v>661</v>
      </c>
      <c r="E169" s="2347">
        <v>0</v>
      </c>
      <c r="F169" s="2249">
        <v>65655</v>
      </c>
      <c r="G169" s="2250">
        <v>65654.490000000005</v>
      </c>
      <c r="H169" s="2386">
        <f t="shared" si="11"/>
        <v>0.99999223212245836</v>
      </c>
      <c r="J169" s="444"/>
    </row>
    <row r="170" spans="1:10" ht="15.75" customHeight="1" thickBot="1">
      <c r="A170" s="2312" t="s">
        <v>440</v>
      </c>
      <c r="B170" s="2313"/>
      <c r="C170" s="2314"/>
      <c r="D170" s="2315" t="s">
        <v>662</v>
      </c>
      <c r="E170" s="2316">
        <f>SUM(E171,E194,E220,E232,E240,E282,E286,E294,E303,E308)</f>
        <v>1142385627</v>
      </c>
      <c r="F170" s="2316">
        <f t="shared" ref="F170:G170" si="12">SUM(F171,F194,F220,F232,F240,F282,F286,F294,F303,F308)</f>
        <v>1447064995</v>
      </c>
      <c r="G170" s="2317">
        <f t="shared" si="12"/>
        <v>1353963452.8899999</v>
      </c>
      <c r="H170" s="2341">
        <f t="shared" si="11"/>
        <v>0.93566181033216123</v>
      </c>
      <c r="J170" s="444" t="s">
        <v>663</v>
      </c>
    </row>
    <row r="171" spans="1:10" s="444" customFormat="1" ht="15.75" customHeight="1" thickBot="1">
      <c r="A171" s="500"/>
      <c r="B171" s="2048" t="s">
        <v>439</v>
      </c>
      <c r="C171" s="2049"/>
      <c r="D171" s="2050" t="s">
        <v>71</v>
      </c>
      <c r="E171" s="2051">
        <f>SUM(E172,E184)</f>
        <v>495206020</v>
      </c>
      <c r="F171" s="2051">
        <f>SUM(F172,F184)</f>
        <v>486980075</v>
      </c>
      <c r="G171" s="2052">
        <f>SUM(G172,G184)</f>
        <v>476568677.75999999</v>
      </c>
      <c r="H171" s="1124">
        <f t="shared" si="11"/>
        <v>0.97862048618724284</v>
      </c>
    </row>
    <row r="172" spans="1:10" s="444" customFormat="1" ht="15.75" customHeight="1">
      <c r="A172" s="477"/>
      <c r="B172" s="2054"/>
      <c r="C172" s="4877" t="s">
        <v>567</v>
      </c>
      <c r="D172" s="4878"/>
      <c r="E172" s="2387">
        <f>SUM(E173,E179)</f>
        <v>151766020</v>
      </c>
      <c r="F172" s="2387">
        <f>SUM(F173,F179)</f>
        <v>143540075</v>
      </c>
      <c r="G172" s="2388">
        <f>SUM(G173,G179)</f>
        <v>134391154.08000001</v>
      </c>
      <c r="H172" s="2405">
        <f t="shared" si="11"/>
        <v>0.93626225345082215</v>
      </c>
    </row>
    <row r="173" spans="1:10" s="444" customFormat="1" ht="15.75" customHeight="1">
      <c r="A173" s="477"/>
      <c r="B173" s="487"/>
      <c r="C173" s="4879" t="s">
        <v>568</v>
      </c>
      <c r="D173" s="4880"/>
      <c r="E173" s="2249">
        <f>SUM(E174)</f>
        <v>14627814</v>
      </c>
      <c r="F173" s="2249">
        <f>SUM(F174)</f>
        <v>14677791</v>
      </c>
      <c r="G173" s="2250">
        <f>SUM(G174)</f>
        <v>5533224.2599999998</v>
      </c>
      <c r="H173" s="2397">
        <f t="shared" si="11"/>
        <v>0.37697936017756351</v>
      </c>
    </row>
    <row r="174" spans="1:10" s="444" customFormat="1" ht="15.75" customHeight="1">
      <c r="A174" s="477"/>
      <c r="B174" s="487"/>
      <c r="C174" s="4871" t="s">
        <v>577</v>
      </c>
      <c r="D174" s="4881"/>
      <c r="E174" s="2390">
        <f>SUM(E175:E177)</f>
        <v>14627814</v>
      </c>
      <c r="F174" s="2390">
        <f>SUM(F175:F177)</f>
        <v>14677791</v>
      </c>
      <c r="G174" s="2391">
        <f>SUM(G175:G177)</f>
        <v>5533224.2599999998</v>
      </c>
      <c r="H174" s="2397">
        <f t="shared" si="11"/>
        <v>0.37697936017756351</v>
      </c>
    </row>
    <row r="175" spans="1:10" s="444" customFormat="1" ht="15.75" customHeight="1">
      <c r="A175" s="477"/>
      <c r="B175" s="487"/>
      <c r="C175" s="2267" t="s">
        <v>330</v>
      </c>
      <c r="D175" s="2392" t="s">
        <v>582</v>
      </c>
      <c r="E175" s="2249">
        <v>14617814</v>
      </c>
      <c r="F175" s="2249">
        <v>14617814</v>
      </c>
      <c r="G175" s="2250">
        <v>5506164.2599999998</v>
      </c>
      <c r="H175" s="2397">
        <f t="shared" si="11"/>
        <v>0.37667494332599932</v>
      </c>
    </row>
    <row r="176" spans="1:10" s="444" customFormat="1" ht="15.75" customHeight="1">
      <c r="A176" s="477"/>
      <c r="B176" s="487"/>
      <c r="C176" s="2393" t="s">
        <v>327</v>
      </c>
      <c r="D176" s="2399" t="s">
        <v>586</v>
      </c>
      <c r="E176" s="2249">
        <v>0</v>
      </c>
      <c r="F176" s="2249">
        <v>50000</v>
      </c>
      <c r="G176" s="2250">
        <v>27060</v>
      </c>
      <c r="H176" s="2397">
        <f t="shared" si="11"/>
        <v>0.54120000000000001</v>
      </c>
    </row>
    <row r="177" spans="1:8" s="444" customFormat="1" ht="15.75" customHeight="1">
      <c r="A177" s="477"/>
      <c r="B177" s="487"/>
      <c r="C177" s="2394" t="s">
        <v>647</v>
      </c>
      <c r="D177" s="2395" t="s">
        <v>648</v>
      </c>
      <c r="E177" s="2249">
        <v>10000</v>
      </c>
      <c r="F177" s="2249">
        <v>9977</v>
      </c>
      <c r="G177" s="2250">
        <v>0</v>
      </c>
      <c r="H177" s="2397">
        <f t="shared" si="11"/>
        <v>0</v>
      </c>
    </row>
    <row r="178" spans="1:8" s="444" customFormat="1" ht="15.75" customHeight="1">
      <c r="A178" s="477"/>
      <c r="B178" s="487"/>
      <c r="C178" s="2396"/>
      <c r="D178" s="2400"/>
      <c r="E178" s="2249"/>
      <c r="F178" s="2249"/>
      <c r="G178" s="2250"/>
      <c r="H178" s="2397"/>
    </row>
    <row r="179" spans="1:8" s="444" customFormat="1" ht="15.75" customHeight="1">
      <c r="A179" s="477"/>
      <c r="B179" s="487"/>
      <c r="C179" s="4882" t="s">
        <v>640</v>
      </c>
      <c r="D179" s="4883"/>
      <c r="E179" s="2402">
        <f>SUM(E180:E182)</f>
        <v>137138206</v>
      </c>
      <c r="F179" s="2402">
        <f>SUM(F180:F182)</f>
        <v>128862284</v>
      </c>
      <c r="G179" s="2403">
        <f>SUM(G180:G182)</f>
        <v>128857929.82000001</v>
      </c>
      <c r="H179" s="2404">
        <f t="shared" si="11"/>
        <v>0.99996621059424962</v>
      </c>
    </row>
    <row r="180" spans="1:8" s="444" customFormat="1" ht="41.25" customHeight="1">
      <c r="A180" s="477"/>
      <c r="B180" s="487"/>
      <c r="C180" s="2258" t="s">
        <v>664</v>
      </c>
      <c r="D180" s="2401" t="s">
        <v>665</v>
      </c>
      <c r="E180" s="2249">
        <v>0</v>
      </c>
      <c r="F180" s="2249">
        <v>183221</v>
      </c>
      <c r="G180" s="2250">
        <v>183220.97</v>
      </c>
      <c r="H180" s="2397">
        <f>G180/F180</f>
        <v>0.99999983626331046</v>
      </c>
    </row>
    <row r="181" spans="1:8" s="444" customFormat="1" ht="30" customHeight="1" thickBot="1">
      <c r="A181" s="501"/>
      <c r="B181" s="2059"/>
      <c r="C181" s="2260" t="s">
        <v>78</v>
      </c>
      <c r="D181" s="2398" t="s">
        <v>666</v>
      </c>
      <c r="E181" s="503">
        <v>0</v>
      </c>
      <c r="F181" s="503">
        <v>100000</v>
      </c>
      <c r="G181" s="702">
        <v>95647.87</v>
      </c>
      <c r="H181" s="2245">
        <f>G181/F181</f>
        <v>0.9564786999999999</v>
      </c>
    </row>
    <row r="182" spans="1:8" s="444" customFormat="1" ht="38.25">
      <c r="A182" s="500"/>
      <c r="B182" s="2054"/>
      <c r="C182" s="2406" t="s">
        <v>400</v>
      </c>
      <c r="D182" s="2407" t="s">
        <v>667</v>
      </c>
      <c r="E182" s="2376">
        <v>137138206</v>
      </c>
      <c r="F182" s="2376">
        <v>128579063</v>
      </c>
      <c r="G182" s="2377">
        <v>128579060.98</v>
      </c>
      <c r="H182" s="2378">
        <f t="shared" si="11"/>
        <v>0.99999998428982173</v>
      </c>
    </row>
    <row r="183" spans="1:8" s="444" customFormat="1" ht="15">
      <c r="A183" s="477"/>
      <c r="B183" s="487"/>
      <c r="C183" s="2274"/>
      <c r="D183" s="2408"/>
      <c r="E183" s="2249"/>
      <c r="F183" s="2249"/>
      <c r="G183" s="2250"/>
      <c r="H183" s="2419"/>
    </row>
    <row r="184" spans="1:8" s="444" customFormat="1" ht="15">
      <c r="A184" s="477"/>
      <c r="B184" s="487"/>
      <c r="C184" s="4884" t="s">
        <v>603</v>
      </c>
      <c r="D184" s="4885"/>
      <c r="E184" s="2277">
        <f>SUM(E185)</f>
        <v>343440000</v>
      </c>
      <c r="F184" s="2277">
        <f>SUM(F185)</f>
        <v>343440000</v>
      </c>
      <c r="G184" s="2278">
        <f>SUM(G185)</f>
        <v>342177523.68000001</v>
      </c>
      <c r="H184" s="2418">
        <f t="shared" ref="H184:H200" si="13">G184/F184</f>
        <v>0.99632402655485675</v>
      </c>
    </row>
    <row r="185" spans="1:8" s="444" customFormat="1" ht="15">
      <c r="A185" s="477"/>
      <c r="B185" s="487"/>
      <c r="C185" s="4886" t="s">
        <v>604</v>
      </c>
      <c r="D185" s="4876"/>
      <c r="E185" s="2249">
        <f>SUM(E186:E188)</f>
        <v>343440000</v>
      </c>
      <c r="F185" s="2249">
        <f>SUM(F186:F188)</f>
        <v>343440000</v>
      </c>
      <c r="G185" s="2250">
        <f>SUM(G186:G188)</f>
        <v>342177523.68000001</v>
      </c>
      <c r="H185" s="2419">
        <f t="shared" si="13"/>
        <v>0.99632402655485675</v>
      </c>
    </row>
    <row r="186" spans="1:8" s="444" customFormat="1" ht="15">
      <c r="A186" s="477"/>
      <c r="B186" s="487"/>
      <c r="C186" s="2409" t="s">
        <v>354</v>
      </c>
      <c r="D186" s="2410" t="s">
        <v>605</v>
      </c>
      <c r="E186" s="2249">
        <v>65440000</v>
      </c>
      <c r="F186" s="2249">
        <v>65440000</v>
      </c>
      <c r="G186" s="2250">
        <v>64177523.68</v>
      </c>
      <c r="H186" s="2419">
        <f t="shared" si="13"/>
        <v>0.98070788019559907</v>
      </c>
    </row>
    <row r="187" spans="1:8" s="444" customFormat="1" ht="15">
      <c r="A187" s="477"/>
      <c r="B187" s="487"/>
      <c r="C187" s="2409" t="s">
        <v>668</v>
      </c>
      <c r="D187" s="2410" t="s">
        <v>605</v>
      </c>
      <c r="E187" s="2249">
        <v>236300000</v>
      </c>
      <c r="F187" s="2249">
        <v>236300000</v>
      </c>
      <c r="G187" s="2250">
        <v>236300000</v>
      </c>
      <c r="H187" s="2419">
        <f t="shared" si="13"/>
        <v>1</v>
      </c>
    </row>
    <row r="188" spans="1:8" s="444" customFormat="1" ht="15">
      <c r="A188" s="477"/>
      <c r="B188" s="487"/>
      <c r="C188" s="2409" t="s">
        <v>365</v>
      </c>
      <c r="D188" s="2410" t="s">
        <v>605</v>
      </c>
      <c r="E188" s="2249">
        <v>41700000</v>
      </c>
      <c r="F188" s="2249">
        <v>41700000</v>
      </c>
      <c r="G188" s="2250">
        <v>41700000</v>
      </c>
      <c r="H188" s="2419">
        <f t="shared" si="13"/>
        <v>1</v>
      </c>
    </row>
    <row r="189" spans="1:8" s="444" customFormat="1" ht="15">
      <c r="A189" s="477"/>
      <c r="B189" s="487"/>
      <c r="C189" s="520"/>
      <c r="D189" s="521"/>
      <c r="E189" s="2249"/>
      <c r="F189" s="2249"/>
      <c r="G189" s="2250"/>
      <c r="H189" s="2419"/>
    </row>
    <row r="190" spans="1:8" ht="15">
      <c r="A190" s="517"/>
      <c r="B190" s="518"/>
      <c r="C190" s="4871" t="s">
        <v>669</v>
      </c>
      <c r="D190" s="4872"/>
      <c r="E190" s="2251">
        <f>SUM(E191:E193)</f>
        <v>341940000</v>
      </c>
      <c r="F190" s="2251">
        <f>SUM(F191:F193)</f>
        <v>341940000</v>
      </c>
      <c r="G190" s="2252">
        <f>SUM(G191:G193)</f>
        <v>341940000</v>
      </c>
      <c r="H190" s="2420">
        <f t="shared" si="13"/>
        <v>1</v>
      </c>
    </row>
    <row r="191" spans="1:8" ht="15">
      <c r="A191" s="522"/>
      <c r="B191" s="518"/>
      <c r="C191" s="2267" t="s">
        <v>354</v>
      </c>
      <c r="D191" s="2392" t="s">
        <v>605</v>
      </c>
      <c r="E191" s="2249">
        <v>63940000</v>
      </c>
      <c r="F191" s="2249">
        <v>63940000</v>
      </c>
      <c r="G191" s="2250">
        <v>63940000</v>
      </c>
      <c r="H191" s="2419">
        <f t="shared" si="13"/>
        <v>1</v>
      </c>
    </row>
    <row r="192" spans="1:8" s="444" customFormat="1" ht="15">
      <c r="A192" s="477"/>
      <c r="B192" s="523"/>
      <c r="C192" s="2409" t="s">
        <v>668</v>
      </c>
      <c r="D192" s="2410" t="s">
        <v>605</v>
      </c>
      <c r="E192" s="2249">
        <v>236300000</v>
      </c>
      <c r="F192" s="2249">
        <v>236300000</v>
      </c>
      <c r="G192" s="2250">
        <v>236300000</v>
      </c>
      <c r="H192" s="2419">
        <f t="shared" si="13"/>
        <v>1</v>
      </c>
    </row>
    <row r="193" spans="1:8" s="444" customFormat="1" ht="15.75" thickBot="1">
      <c r="A193" s="477"/>
      <c r="B193" s="523"/>
      <c r="C193" s="2299" t="s">
        <v>365</v>
      </c>
      <c r="D193" s="2411" t="s">
        <v>605</v>
      </c>
      <c r="E193" s="2249">
        <v>41700000</v>
      </c>
      <c r="F193" s="2249">
        <v>41700000</v>
      </c>
      <c r="G193" s="2250">
        <v>41700000</v>
      </c>
      <c r="H193" s="701">
        <f t="shared" si="13"/>
        <v>1</v>
      </c>
    </row>
    <row r="194" spans="1:8" ht="15" customHeight="1" thickBot="1">
      <c r="A194" s="517"/>
      <c r="B194" s="2048" t="s">
        <v>438</v>
      </c>
      <c r="C194" s="2049"/>
      <c r="D194" s="2050" t="s">
        <v>81</v>
      </c>
      <c r="E194" s="2051">
        <f>SUM(E195,E202)</f>
        <v>100555545</v>
      </c>
      <c r="F194" s="2051">
        <f>SUM(F195,F202)</f>
        <v>296934056</v>
      </c>
      <c r="G194" s="2052">
        <f>SUM(G195,G202)</f>
        <v>291230485.78000003</v>
      </c>
      <c r="H194" s="2242">
        <f t="shared" si="13"/>
        <v>0.98079179499706837</v>
      </c>
    </row>
    <row r="195" spans="1:8" ht="15" customHeight="1">
      <c r="A195" s="517"/>
      <c r="B195" s="2412"/>
      <c r="C195" s="4873" t="s">
        <v>567</v>
      </c>
      <c r="D195" s="4873"/>
      <c r="E195" s="2421">
        <f t="shared" ref="E195:G196" si="14">SUM(E196)</f>
        <v>0</v>
      </c>
      <c r="F195" s="2421">
        <f t="shared" si="14"/>
        <v>175000</v>
      </c>
      <c r="G195" s="2422">
        <f t="shared" si="14"/>
        <v>65396.47</v>
      </c>
      <c r="H195" s="2423">
        <f t="shared" si="13"/>
        <v>0.37369411428571431</v>
      </c>
    </row>
    <row r="196" spans="1:8" ht="15" customHeight="1">
      <c r="A196" s="517"/>
      <c r="B196" s="524"/>
      <c r="C196" s="4834" t="s">
        <v>568</v>
      </c>
      <c r="D196" s="4834"/>
      <c r="E196" s="2249">
        <f t="shared" si="14"/>
        <v>0</v>
      </c>
      <c r="F196" s="2249">
        <f t="shared" si="14"/>
        <v>175000</v>
      </c>
      <c r="G196" s="2250">
        <f t="shared" si="14"/>
        <v>65396.47</v>
      </c>
      <c r="H196" s="2424">
        <f t="shared" si="13"/>
        <v>0.37369411428571431</v>
      </c>
    </row>
    <row r="197" spans="1:8" ht="15" customHeight="1">
      <c r="A197" s="517"/>
      <c r="B197" s="524"/>
      <c r="C197" s="4841" t="s">
        <v>577</v>
      </c>
      <c r="D197" s="4841"/>
      <c r="E197" s="2249">
        <f>SUM(E198:E200)</f>
        <v>0</v>
      </c>
      <c r="F197" s="2249">
        <f>SUM(F198:F200)</f>
        <v>175000</v>
      </c>
      <c r="G197" s="2250">
        <f>SUM(G198:G200)</f>
        <v>65396.47</v>
      </c>
      <c r="H197" s="2424">
        <f t="shared" si="13"/>
        <v>0.37369411428571431</v>
      </c>
    </row>
    <row r="198" spans="1:8" ht="15" customHeight="1">
      <c r="A198" s="517"/>
      <c r="B198" s="524"/>
      <c r="C198" s="2265" t="s">
        <v>331</v>
      </c>
      <c r="D198" s="2370" t="s">
        <v>581</v>
      </c>
      <c r="E198" s="2249">
        <v>0</v>
      </c>
      <c r="F198" s="2249">
        <v>150000</v>
      </c>
      <c r="G198" s="2250">
        <v>63218.15</v>
      </c>
      <c r="H198" s="2424">
        <f t="shared" si="13"/>
        <v>0.42145433333333332</v>
      </c>
    </row>
    <row r="199" spans="1:8" ht="15" customHeight="1">
      <c r="A199" s="517"/>
      <c r="B199" s="524"/>
      <c r="C199" s="2265" t="s">
        <v>312</v>
      </c>
      <c r="D199" s="2266" t="s">
        <v>584</v>
      </c>
      <c r="E199" s="2249">
        <v>0</v>
      </c>
      <c r="F199" s="2249">
        <v>15000</v>
      </c>
      <c r="G199" s="2250">
        <v>261.11</v>
      </c>
      <c r="H199" s="2424">
        <f t="shared" si="13"/>
        <v>1.7407333333333334E-2</v>
      </c>
    </row>
    <row r="200" spans="1:8" ht="15" customHeight="1">
      <c r="A200" s="517"/>
      <c r="B200" s="524"/>
      <c r="C200" s="2267" t="s">
        <v>328</v>
      </c>
      <c r="D200" s="2266" t="s">
        <v>670</v>
      </c>
      <c r="E200" s="2249">
        <v>0</v>
      </c>
      <c r="F200" s="2249">
        <v>10000</v>
      </c>
      <c r="G200" s="2250">
        <v>1917.21</v>
      </c>
      <c r="H200" s="2424">
        <f t="shared" si="13"/>
        <v>0.191721</v>
      </c>
    </row>
    <row r="201" spans="1:8" ht="15" customHeight="1">
      <c r="A201" s="517"/>
      <c r="B201" s="525"/>
      <c r="C201" s="2413"/>
      <c r="D201" s="2425"/>
      <c r="E201" s="2275"/>
      <c r="F201" s="2275"/>
      <c r="G201" s="2276"/>
      <c r="H201" s="2426"/>
    </row>
    <row r="202" spans="1:8" ht="15" customHeight="1">
      <c r="A202" s="517"/>
      <c r="B202" s="525"/>
      <c r="C202" s="4874" t="s">
        <v>603</v>
      </c>
      <c r="D202" s="4875"/>
      <c r="E202" s="2427">
        <f>SUM(E203)</f>
        <v>100555545</v>
      </c>
      <c r="F202" s="2427">
        <f>SUM(F203)</f>
        <v>296759056</v>
      </c>
      <c r="G202" s="2428">
        <f>SUM(G203)</f>
        <v>291165089.31</v>
      </c>
      <c r="H202" s="2429">
        <f t="shared" ref="H202:H210" si="15">G202/F202</f>
        <v>0.98114980292294773</v>
      </c>
    </row>
    <row r="203" spans="1:8" ht="15" customHeight="1">
      <c r="A203" s="517"/>
      <c r="B203" s="525"/>
      <c r="C203" s="4838" t="s">
        <v>604</v>
      </c>
      <c r="D203" s="4876"/>
      <c r="E203" s="2249">
        <f>SUM(E204:E210)</f>
        <v>100555545</v>
      </c>
      <c r="F203" s="2249">
        <f>SUM(F204:F210)</f>
        <v>296759056</v>
      </c>
      <c r="G203" s="2250">
        <f>SUM(G204:G210)</f>
        <v>291165089.31</v>
      </c>
      <c r="H203" s="2430">
        <f t="shared" si="15"/>
        <v>0.98114980292294773</v>
      </c>
    </row>
    <row r="204" spans="1:8" ht="15" customHeight="1">
      <c r="A204" s="517"/>
      <c r="B204" s="525"/>
      <c r="C204" s="2414" t="s">
        <v>339</v>
      </c>
      <c r="D204" s="2408" t="s">
        <v>671</v>
      </c>
      <c r="E204" s="2249">
        <v>59741840</v>
      </c>
      <c r="F204" s="2249">
        <v>71041537</v>
      </c>
      <c r="G204" s="2250">
        <v>70872636.010000005</v>
      </c>
      <c r="H204" s="2430">
        <f t="shared" si="15"/>
        <v>0.99762250371919747</v>
      </c>
    </row>
    <row r="205" spans="1:8" ht="15" customHeight="1">
      <c r="A205" s="517"/>
      <c r="B205" s="525"/>
      <c r="C205" s="2414" t="s">
        <v>672</v>
      </c>
      <c r="D205" s="2408" t="s">
        <v>671</v>
      </c>
      <c r="E205" s="2249">
        <v>22920771</v>
      </c>
      <c r="F205" s="2249">
        <v>27545138</v>
      </c>
      <c r="G205" s="2250">
        <v>27545138</v>
      </c>
      <c r="H205" s="2430">
        <f t="shared" si="15"/>
        <v>1</v>
      </c>
    </row>
    <row r="206" spans="1:8" ht="15" customHeight="1">
      <c r="A206" s="517"/>
      <c r="B206" s="525"/>
      <c r="C206" s="2414" t="s">
        <v>673</v>
      </c>
      <c r="D206" s="2408" t="s">
        <v>671</v>
      </c>
      <c r="E206" s="2249">
        <v>12892934</v>
      </c>
      <c r="F206" s="2249">
        <v>15494141</v>
      </c>
      <c r="G206" s="2250">
        <v>15494140.720000001</v>
      </c>
      <c r="H206" s="2430">
        <f t="shared" si="15"/>
        <v>0.99999998192865291</v>
      </c>
    </row>
    <row r="207" spans="1:8" ht="15" customHeight="1">
      <c r="A207" s="517"/>
      <c r="B207" s="525"/>
      <c r="C207" s="2415" t="s">
        <v>354</v>
      </c>
      <c r="D207" s="2410" t="s">
        <v>605</v>
      </c>
      <c r="E207" s="2249">
        <v>5000000</v>
      </c>
      <c r="F207" s="2249">
        <v>6327266</v>
      </c>
      <c r="G207" s="2250">
        <v>6232265.1399999997</v>
      </c>
      <c r="H207" s="2430">
        <f t="shared" si="15"/>
        <v>0.98498548030065425</v>
      </c>
    </row>
    <row r="208" spans="1:8" ht="51.75" thickBot="1">
      <c r="A208" s="539"/>
      <c r="B208" s="2416"/>
      <c r="C208" s="2417" t="s">
        <v>674</v>
      </c>
      <c r="D208" s="589" t="s">
        <v>675</v>
      </c>
      <c r="E208" s="608">
        <v>0</v>
      </c>
      <c r="F208" s="608">
        <v>165719556</v>
      </c>
      <c r="G208" s="1309">
        <v>165691447.15000001</v>
      </c>
      <c r="H208" s="2245">
        <f t="shared" si="15"/>
        <v>0.99983038302371507</v>
      </c>
    </row>
    <row r="209" spans="1:8" ht="51">
      <c r="A209" s="2431"/>
      <c r="B209" s="2432"/>
      <c r="C209" s="2433" t="s">
        <v>101</v>
      </c>
      <c r="D209" s="2434" t="s">
        <v>676</v>
      </c>
      <c r="E209" s="2292">
        <v>0</v>
      </c>
      <c r="F209" s="2292">
        <v>10619569</v>
      </c>
      <c r="G209" s="2435">
        <v>5317614.18</v>
      </c>
      <c r="H209" s="2378">
        <f t="shared" si="15"/>
        <v>0.50073728792571526</v>
      </c>
    </row>
    <row r="210" spans="1:8" ht="27.75" customHeight="1">
      <c r="A210" s="517"/>
      <c r="B210" s="525"/>
      <c r="C210" s="2415" t="s">
        <v>677</v>
      </c>
      <c r="D210" s="2436" t="s">
        <v>678</v>
      </c>
      <c r="E210" s="2249">
        <v>0</v>
      </c>
      <c r="F210" s="2249">
        <v>11849</v>
      </c>
      <c r="G210" s="2250">
        <v>11848.11</v>
      </c>
      <c r="H210" s="2430">
        <f t="shared" si="15"/>
        <v>0.9999248881762175</v>
      </c>
    </row>
    <row r="211" spans="1:8" ht="15">
      <c r="A211" s="517"/>
      <c r="B211" s="525"/>
      <c r="C211" s="526"/>
      <c r="D211" s="521"/>
      <c r="E211" s="2249"/>
      <c r="F211" s="2275"/>
      <c r="G211" s="2276"/>
      <c r="H211" s="2459"/>
    </row>
    <row r="212" spans="1:8" ht="15" customHeight="1">
      <c r="A212" s="517"/>
      <c r="B212" s="525"/>
      <c r="C212" s="4887" t="s">
        <v>669</v>
      </c>
      <c r="D212" s="4872"/>
      <c r="E212" s="2251">
        <f>SUM(E213:E219)</f>
        <v>100555545</v>
      </c>
      <c r="F212" s="2251">
        <f t="shared" ref="F212:G212" si="16">SUM(F213:F219)</f>
        <v>296664056</v>
      </c>
      <c r="G212" s="2252">
        <f t="shared" si="16"/>
        <v>291165089.31</v>
      </c>
      <c r="H212" s="2430">
        <f t="shared" ref="H212:H236" si="17">G212/F212</f>
        <v>0.98146399410786722</v>
      </c>
    </row>
    <row r="213" spans="1:8" ht="15" customHeight="1">
      <c r="A213" s="517"/>
      <c r="B213" s="525"/>
      <c r="C213" s="2437" t="s">
        <v>339</v>
      </c>
      <c r="D213" s="2389" t="s">
        <v>671</v>
      </c>
      <c r="E213" s="2249">
        <v>59741840</v>
      </c>
      <c r="F213" s="2249">
        <v>71041537</v>
      </c>
      <c r="G213" s="2250">
        <v>70872636.010000005</v>
      </c>
      <c r="H213" s="2430">
        <f t="shared" si="17"/>
        <v>0.99762250371919747</v>
      </c>
    </row>
    <row r="214" spans="1:8" ht="15" customHeight="1">
      <c r="A214" s="517"/>
      <c r="B214" s="525"/>
      <c r="C214" s="2437" t="s">
        <v>672</v>
      </c>
      <c r="D214" s="2389" t="s">
        <v>671</v>
      </c>
      <c r="E214" s="2249">
        <v>22920771</v>
      </c>
      <c r="F214" s="2249">
        <v>27545138</v>
      </c>
      <c r="G214" s="2250">
        <v>27545138</v>
      </c>
      <c r="H214" s="2430">
        <f t="shared" si="17"/>
        <v>1</v>
      </c>
    </row>
    <row r="215" spans="1:8" ht="15" customHeight="1">
      <c r="A215" s="517"/>
      <c r="B215" s="525"/>
      <c r="C215" s="2438" t="s">
        <v>673</v>
      </c>
      <c r="D215" s="2439" t="s">
        <v>671</v>
      </c>
      <c r="E215" s="2249">
        <v>12892934</v>
      </c>
      <c r="F215" s="2249">
        <v>15494141</v>
      </c>
      <c r="G215" s="2250">
        <v>15494140.720000001</v>
      </c>
      <c r="H215" s="2430">
        <f t="shared" si="17"/>
        <v>0.99999998192865291</v>
      </c>
    </row>
    <row r="216" spans="1:8" ht="15" customHeight="1">
      <c r="A216" s="517"/>
      <c r="B216" s="525"/>
      <c r="C216" s="2440" t="s">
        <v>354</v>
      </c>
      <c r="D216" s="2441" t="s">
        <v>605</v>
      </c>
      <c r="E216" s="2249">
        <v>5000000</v>
      </c>
      <c r="F216" s="2249">
        <f>6327266-95000</f>
        <v>6232266</v>
      </c>
      <c r="G216" s="2250">
        <v>6232265.1399999997</v>
      </c>
      <c r="H216" s="2404">
        <f t="shared" si="17"/>
        <v>0.99999986200845725</v>
      </c>
    </row>
    <row r="217" spans="1:8" ht="51">
      <c r="A217" s="522"/>
      <c r="B217" s="525"/>
      <c r="C217" s="2442" t="s">
        <v>674</v>
      </c>
      <c r="D217" s="2443" t="s">
        <v>675</v>
      </c>
      <c r="E217" s="2402">
        <v>0</v>
      </c>
      <c r="F217" s="2402">
        <v>165719556</v>
      </c>
      <c r="G217" s="2403">
        <v>165691447.15000001</v>
      </c>
      <c r="H217" s="2404">
        <f t="shared" si="17"/>
        <v>0.99983038302371507</v>
      </c>
    </row>
    <row r="218" spans="1:8" ht="51">
      <c r="A218" s="517"/>
      <c r="B218" s="525"/>
      <c r="C218" s="2444" t="s">
        <v>101</v>
      </c>
      <c r="D218" s="2445" t="s">
        <v>676</v>
      </c>
      <c r="E218" s="2446">
        <v>0</v>
      </c>
      <c r="F218" s="2249">
        <v>10619569</v>
      </c>
      <c r="G218" s="2250">
        <v>5317614.18</v>
      </c>
      <c r="H218" s="2447">
        <f t="shared" si="17"/>
        <v>0.50073728792571526</v>
      </c>
    </row>
    <row r="219" spans="1:8" ht="27.75" customHeight="1" thickBot="1">
      <c r="A219" s="517"/>
      <c r="B219" s="525"/>
      <c r="C219" s="2415" t="s">
        <v>677</v>
      </c>
      <c r="D219" s="2436" t="s">
        <v>678</v>
      </c>
      <c r="E219" s="2249">
        <v>0</v>
      </c>
      <c r="F219" s="2249">
        <v>11849</v>
      </c>
      <c r="G219" s="2250">
        <v>11848.11</v>
      </c>
      <c r="H219" s="2404">
        <f t="shared" si="17"/>
        <v>0.9999248881762175</v>
      </c>
    </row>
    <row r="220" spans="1:8" ht="15.75" customHeight="1" thickBot="1">
      <c r="A220" s="522"/>
      <c r="B220" s="2048" t="s">
        <v>437</v>
      </c>
      <c r="C220" s="2049"/>
      <c r="D220" s="2050" t="s">
        <v>86</v>
      </c>
      <c r="E220" s="2448">
        <f>SUM(E221)</f>
        <v>51604000</v>
      </c>
      <c r="F220" s="2448">
        <f>SUM(F221)</f>
        <v>72835664</v>
      </c>
      <c r="G220" s="2449">
        <f>SUM(G221)</f>
        <v>72835639.679999992</v>
      </c>
      <c r="H220" s="2242">
        <f t="shared" si="17"/>
        <v>0.99999966609764124</v>
      </c>
    </row>
    <row r="221" spans="1:8" ht="15.75" customHeight="1">
      <c r="A221" s="517"/>
      <c r="B221" s="2241"/>
      <c r="C221" s="4888" t="s">
        <v>567</v>
      </c>
      <c r="D221" s="4889"/>
      <c r="E221" s="2427">
        <f>SUM(E222,E226)</f>
        <v>51604000</v>
      </c>
      <c r="F221" s="2427">
        <f>SUM(F222,F226)</f>
        <v>72835664</v>
      </c>
      <c r="G221" s="2428">
        <f>SUM(G222,G226)</f>
        <v>72835639.679999992</v>
      </c>
      <c r="H221" s="2429">
        <f t="shared" si="17"/>
        <v>0.99999966609764124</v>
      </c>
    </row>
    <row r="222" spans="1:8" ht="15.75" customHeight="1">
      <c r="A222" s="517"/>
      <c r="B222" s="494"/>
      <c r="C222" s="4834" t="s">
        <v>568</v>
      </c>
      <c r="D222" s="4834"/>
      <c r="E222" s="2427">
        <f t="shared" ref="E222:G223" si="18">SUM(E223)</f>
        <v>0</v>
      </c>
      <c r="F222" s="2427">
        <f t="shared" si="18"/>
        <v>23</v>
      </c>
      <c r="G222" s="2428">
        <f t="shared" si="18"/>
        <v>0</v>
      </c>
      <c r="H222" s="2430">
        <f t="shared" si="17"/>
        <v>0</v>
      </c>
    </row>
    <row r="223" spans="1:8" ht="15.75" customHeight="1">
      <c r="A223" s="517"/>
      <c r="B223" s="494"/>
      <c r="C223" s="4841" t="s">
        <v>577</v>
      </c>
      <c r="D223" s="4841"/>
      <c r="E223" s="2249">
        <f t="shared" si="18"/>
        <v>0</v>
      </c>
      <c r="F223" s="2249">
        <f t="shared" si="18"/>
        <v>23</v>
      </c>
      <c r="G223" s="2250">
        <f t="shared" si="18"/>
        <v>0</v>
      </c>
      <c r="H223" s="2430">
        <f t="shared" si="17"/>
        <v>0</v>
      </c>
    </row>
    <row r="224" spans="1:8" ht="15.75" customHeight="1">
      <c r="A224" s="517"/>
      <c r="B224" s="494"/>
      <c r="C224" s="2450" t="s">
        <v>647</v>
      </c>
      <c r="D224" s="2451" t="s">
        <v>679</v>
      </c>
      <c r="E224" s="2249">
        <v>0</v>
      </c>
      <c r="F224" s="2249">
        <v>23</v>
      </c>
      <c r="G224" s="2250">
        <v>0</v>
      </c>
      <c r="H224" s="2430">
        <f t="shared" si="17"/>
        <v>0</v>
      </c>
    </row>
    <row r="225" spans="1:10" ht="15" customHeight="1">
      <c r="A225" s="517"/>
      <c r="B225" s="494"/>
      <c r="C225" s="528"/>
      <c r="D225" s="2452"/>
      <c r="E225" s="529"/>
      <c r="F225" s="529"/>
      <c r="G225" s="700"/>
      <c r="H225" s="2430"/>
    </row>
    <row r="226" spans="1:10" ht="15" customHeight="1">
      <c r="A226" s="517"/>
      <c r="B226" s="494"/>
      <c r="C226" s="4890" t="s">
        <v>640</v>
      </c>
      <c r="D226" s="4890"/>
      <c r="E226" s="2453">
        <f>SUM(E227:E231)</f>
        <v>51604000</v>
      </c>
      <c r="F226" s="2453">
        <f>SUM(F227:F231)</f>
        <v>72835641</v>
      </c>
      <c r="G226" s="2454">
        <f>SUM(G227:G231)</f>
        <v>72835639.679999992</v>
      </c>
      <c r="H226" s="2430">
        <f t="shared" si="17"/>
        <v>0.99999998187700434</v>
      </c>
    </row>
    <row r="227" spans="1:10" ht="38.25">
      <c r="A227" s="517"/>
      <c r="B227" s="494"/>
      <c r="C227" s="2455" t="s">
        <v>436</v>
      </c>
      <c r="D227" s="2456" t="s">
        <v>641</v>
      </c>
      <c r="E227" s="2249">
        <v>1300000</v>
      </c>
      <c r="F227" s="2249">
        <v>608599</v>
      </c>
      <c r="G227" s="2250">
        <v>608598.93999999994</v>
      </c>
      <c r="H227" s="2430">
        <f t="shared" si="17"/>
        <v>0.99999990141291717</v>
      </c>
    </row>
    <row r="228" spans="1:10" ht="39" thickBot="1">
      <c r="A228" s="539"/>
      <c r="B228" s="598"/>
      <c r="C228" s="2457" t="s">
        <v>253</v>
      </c>
      <c r="D228" s="2458" t="s">
        <v>642</v>
      </c>
      <c r="E228" s="503">
        <v>3000000</v>
      </c>
      <c r="F228" s="503">
        <v>5840422</v>
      </c>
      <c r="G228" s="702">
        <v>5840422</v>
      </c>
      <c r="H228" s="2245">
        <f t="shared" si="17"/>
        <v>1</v>
      </c>
    </row>
    <row r="229" spans="1:10" ht="25.5">
      <c r="A229" s="2431"/>
      <c r="B229" s="2241"/>
      <c r="C229" s="2460" t="s">
        <v>435</v>
      </c>
      <c r="D229" s="2461" t="s">
        <v>680</v>
      </c>
      <c r="E229" s="2292">
        <v>43604000</v>
      </c>
      <c r="F229" s="2292">
        <v>60675302</v>
      </c>
      <c r="G229" s="2435">
        <v>60675301.780000001</v>
      </c>
      <c r="H229" s="2378">
        <f t="shared" si="17"/>
        <v>0.9999999963741425</v>
      </c>
    </row>
    <row r="230" spans="1:10" ht="25.5">
      <c r="A230" s="522"/>
      <c r="B230" s="495"/>
      <c r="C230" s="2462" t="s">
        <v>341</v>
      </c>
      <c r="D230" s="2463" t="s">
        <v>681</v>
      </c>
      <c r="E230" s="2249">
        <v>3700000</v>
      </c>
      <c r="F230" s="2249">
        <v>4853682</v>
      </c>
      <c r="G230" s="2250">
        <v>4853681.91</v>
      </c>
      <c r="H230" s="2470">
        <f t="shared" si="17"/>
        <v>0.99999998145737612</v>
      </c>
    </row>
    <row r="231" spans="1:10" ht="51.75" thickBot="1">
      <c r="A231" s="517"/>
      <c r="B231" s="530"/>
      <c r="C231" s="531" t="s">
        <v>42</v>
      </c>
      <c r="D231" s="532" t="s">
        <v>682</v>
      </c>
      <c r="E231" s="533">
        <v>0</v>
      </c>
      <c r="F231" s="533">
        <v>857636</v>
      </c>
      <c r="G231" s="677">
        <v>857635.05</v>
      </c>
      <c r="H231" s="701">
        <f t="shared" si="17"/>
        <v>0.99999889230396122</v>
      </c>
    </row>
    <row r="232" spans="1:10" ht="15" customHeight="1" thickBot="1">
      <c r="A232" s="522"/>
      <c r="B232" s="2048" t="s">
        <v>434</v>
      </c>
      <c r="C232" s="2049"/>
      <c r="D232" s="2050" t="s">
        <v>88</v>
      </c>
      <c r="E232" s="2051">
        <f>SUM(E233)</f>
        <v>260000</v>
      </c>
      <c r="F232" s="2051">
        <f>SUM(F233)</f>
        <v>360000</v>
      </c>
      <c r="G232" s="2052">
        <f>SUM(G233)</f>
        <v>47553.15</v>
      </c>
      <c r="H232" s="2242">
        <f t="shared" si="17"/>
        <v>0.13209208333333333</v>
      </c>
    </row>
    <row r="233" spans="1:10" ht="15" customHeight="1">
      <c r="A233" s="517"/>
      <c r="B233" s="4823"/>
      <c r="C233" s="4891" t="s">
        <v>567</v>
      </c>
      <c r="D233" s="4891"/>
      <c r="E233" s="2471">
        <f>SUM(E234,E238)</f>
        <v>260000</v>
      </c>
      <c r="F233" s="2471">
        <f>SUM(F234,F238)</f>
        <v>360000</v>
      </c>
      <c r="G233" s="2472">
        <f>SUM(G234,G238)</f>
        <v>47553.15</v>
      </c>
      <c r="H233" s="2473">
        <f t="shared" si="17"/>
        <v>0.13209208333333333</v>
      </c>
    </row>
    <row r="234" spans="1:10" ht="15" customHeight="1">
      <c r="A234" s="517"/>
      <c r="B234" s="4823"/>
      <c r="C234" s="4834" t="s">
        <v>568</v>
      </c>
      <c r="D234" s="4834"/>
      <c r="E234" s="2249">
        <f t="shared" ref="E234:G235" si="19">SUM(E235)</f>
        <v>260000</v>
      </c>
      <c r="F234" s="2249">
        <f t="shared" si="19"/>
        <v>260000</v>
      </c>
      <c r="G234" s="2250">
        <f t="shared" si="19"/>
        <v>47553.15</v>
      </c>
      <c r="H234" s="2474">
        <f t="shared" si="17"/>
        <v>0.18289673076923077</v>
      </c>
    </row>
    <row r="235" spans="1:10" ht="15" customHeight="1">
      <c r="A235" s="517"/>
      <c r="B235" s="4823"/>
      <c r="C235" s="4841" t="s">
        <v>577</v>
      </c>
      <c r="D235" s="4841"/>
      <c r="E235" s="2251">
        <f t="shared" si="19"/>
        <v>260000</v>
      </c>
      <c r="F235" s="2251">
        <f t="shared" si="19"/>
        <v>260000</v>
      </c>
      <c r="G235" s="2252">
        <f t="shared" si="19"/>
        <v>47553.15</v>
      </c>
      <c r="H235" s="2474">
        <f t="shared" si="17"/>
        <v>0.18289673076923077</v>
      </c>
    </row>
    <row r="236" spans="1:10" ht="15" customHeight="1">
      <c r="A236" s="517"/>
      <c r="B236" s="4823"/>
      <c r="C236" s="2267" t="s">
        <v>327</v>
      </c>
      <c r="D236" s="2268" t="s">
        <v>586</v>
      </c>
      <c r="E236" s="2249">
        <v>260000</v>
      </c>
      <c r="F236" s="2249">
        <v>260000</v>
      </c>
      <c r="G236" s="2250">
        <v>47553.15</v>
      </c>
      <c r="H236" s="2474">
        <f t="shared" si="17"/>
        <v>0.18289673076923077</v>
      </c>
    </row>
    <row r="237" spans="1:10" ht="15" customHeight="1">
      <c r="A237" s="517"/>
      <c r="B237" s="495"/>
      <c r="C237" s="2464"/>
      <c r="D237" s="2465"/>
      <c r="E237" s="2475"/>
      <c r="F237" s="2475"/>
      <c r="G237" s="2476"/>
      <c r="H237" s="2474"/>
    </row>
    <row r="238" spans="1:10" ht="15" customHeight="1">
      <c r="A238" s="517"/>
      <c r="B238" s="495"/>
      <c r="C238" s="4901" t="s">
        <v>640</v>
      </c>
      <c r="D238" s="4901"/>
      <c r="E238" s="2477">
        <f>SUM(E239)</f>
        <v>0</v>
      </c>
      <c r="F238" s="2477">
        <f>SUM(F239)</f>
        <v>100000</v>
      </c>
      <c r="G238" s="2478">
        <f>SUM(G239)</f>
        <v>0</v>
      </c>
      <c r="H238" s="2479">
        <f t="shared" ref="H238:H242" si="20">G238/F238</f>
        <v>0</v>
      </c>
    </row>
    <row r="239" spans="1:10" ht="30.75" customHeight="1" thickBot="1">
      <c r="A239" s="517"/>
      <c r="B239" s="495"/>
      <c r="C239" s="2437" t="s">
        <v>78</v>
      </c>
      <c r="D239" s="2248" t="s">
        <v>666</v>
      </c>
      <c r="E239" s="2249">
        <v>0</v>
      </c>
      <c r="F239" s="2249">
        <v>100000</v>
      </c>
      <c r="G239" s="2250">
        <v>0</v>
      </c>
      <c r="H239" s="2479">
        <f t="shared" si="20"/>
        <v>0</v>
      </c>
    </row>
    <row r="240" spans="1:10" s="506" customFormat="1" ht="15" customHeight="1" thickBot="1">
      <c r="A240" s="512"/>
      <c r="B240" s="2343" t="s">
        <v>433</v>
      </c>
      <c r="C240" s="2344"/>
      <c r="D240" s="2345" t="s">
        <v>92</v>
      </c>
      <c r="E240" s="2346">
        <f>SUM(E241,E261)</f>
        <v>491866531</v>
      </c>
      <c r="F240" s="2346">
        <f>SUM(F241,F261)</f>
        <v>582774914</v>
      </c>
      <c r="G240" s="2466">
        <f>SUM(G241,G261)</f>
        <v>507476411.18000007</v>
      </c>
      <c r="H240" s="2467">
        <f t="shared" si="20"/>
        <v>0.87079316385948635</v>
      </c>
      <c r="J240" s="444"/>
    </row>
    <row r="241" spans="1:10" s="506" customFormat="1" ht="15" customHeight="1">
      <c r="A241" s="512"/>
      <c r="B241" s="514"/>
      <c r="C241" s="4902" t="s">
        <v>567</v>
      </c>
      <c r="D241" s="4902"/>
      <c r="E241" s="2480">
        <f>SUM(E242)</f>
        <v>65045371</v>
      </c>
      <c r="F241" s="2480">
        <f>SUM(F242)</f>
        <v>90284183</v>
      </c>
      <c r="G241" s="2481">
        <f>SUM(G242)</f>
        <v>84357558.470000014</v>
      </c>
      <c r="H241" s="2482">
        <f t="shared" si="20"/>
        <v>0.93435589343484471</v>
      </c>
      <c r="J241" s="444"/>
    </row>
    <row r="242" spans="1:10" s="506" customFormat="1" ht="15" customHeight="1">
      <c r="A242" s="512"/>
      <c r="B242" s="514"/>
      <c r="C242" s="4903" t="s">
        <v>568</v>
      </c>
      <c r="D242" s="4850"/>
      <c r="E242" s="2347">
        <f>SUM(E244)</f>
        <v>65045371</v>
      </c>
      <c r="F242" s="2347">
        <f>SUM(F244)</f>
        <v>90284183</v>
      </c>
      <c r="G242" s="2468">
        <f>SUM(G244)</f>
        <v>84357558.470000014</v>
      </c>
      <c r="H242" s="2483">
        <f t="shared" si="20"/>
        <v>0.93435589343484471</v>
      </c>
      <c r="J242" s="444"/>
    </row>
    <row r="243" spans="1:10" s="506" customFormat="1" ht="15" customHeight="1">
      <c r="A243" s="512"/>
      <c r="B243" s="514"/>
      <c r="C243" s="4904"/>
      <c r="D243" s="4905"/>
      <c r="E243" s="2347"/>
      <c r="F243" s="2347"/>
      <c r="G243" s="2468"/>
      <c r="H243" s="2483"/>
      <c r="J243" s="444"/>
    </row>
    <row r="244" spans="1:10" s="506" customFormat="1" ht="15" customHeight="1">
      <c r="A244" s="512"/>
      <c r="B244" s="514"/>
      <c r="C244" s="4906" t="s">
        <v>577</v>
      </c>
      <c r="D244" s="4906"/>
      <c r="E244" s="2484">
        <f>SUM(E245:E259)</f>
        <v>65045371</v>
      </c>
      <c r="F244" s="2484">
        <f>SUM(F245:F259)</f>
        <v>90284183</v>
      </c>
      <c r="G244" s="2485">
        <f>SUM(G245:G259)</f>
        <v>84357558.470000014</v>
      </c>
      <c r="H244" s="2486">
        <f t="shared" ref="H244:H249" si="21">G244/F244</f>
        <v>0.93435589343484471</v>
      </c>
      <c r="J244" s="444"/>
    </row>
    <row r="245" spans="1:10" s="506" customFormat="1" ht="15" customHeight="1">
      <c r="A245" s="512"/>
      <c r="B245" s="514"/>
      <c r="C245" s="2359" t="s">
        <v>313</v>
      </c>
      <c r="D245" s="2370" t="s">
        <v>579</v>
      </c>
      <c r="E245" s="2347">
        <v>9422500</v>
      </c>
      <c r="F245" s="2347">
        <v>14882500</v>
      </c>
      <c r="G245" s="2468">
        <v>13935812.949999999</v>
      </c>
      <c r="H245" s="2486">
        <f t="shared" si="21"/>
        <v>0.93638924575844107</v>
      </c>
      <c r="J245" s="444"/>
    </row>
    <row r="246" spans="1:10" s="506" customFormat="1" ht="15" customHeight="1">
      <c r="A246" s="512"/>
      <c r="B246" s="514"/>
      <c r="C246" s="2359" t="s">
        <v>331</v>
      </c>
      <c r="D246" s="2370" t="s">
        <v>581</v>
      </c>
      <c r="E246" s="2347">
        <v>763000</v>
      </c>
      <c r="F246" s="2347">
        <v>676000</v>
      </c>
      <c r="G246" s="2468">
        <v>414286.95</v>
      </c>
      <c r="H246" s="2486">
        <f t="shared" si="21"/>
        <v>0.61285051775147936</v>
      </c>
      <c r="J246" s="444"/>
    </row>
    <row r="247" spans="1:10" s="506" customFormat="1" ht="15" customHeight="1">
      <c r="A247" s="512"/>
      <c r="B247" s="514"/>
      <c r="C247" s="2359" t="s">
        <v>330</v>
      </c>
      <c r="D247" s="2370" t="s">
        <v>582</v>
      </c>
      <c r="E247" s="2347">
        <v>30733650</v>
      </c>
      <c r="F247" s="2347">
        <v>45784455</v>
      </c>
      <c r="G247" s="2468">
        <v>44618003.640000001</v>
      </c>
      <c r="H247" s="2486">
        <f t="shared" si="21"/>
        <v>0.97452298252758496</v>
      </c>
      <c r="J247" s="444"/>
    </row>
    <row r="248" spans="1:10" s="506" customFormat="1" ht="15" customHeight="1">
      <c r="A248" s="512"/>
      <c r="B248" s="514"/>
      <c r="C248" s="2359" t="s">
        <v>312</v>
      </c>
      <c r="D248" s="2370" t="s">
        <v>584</v>
      </c>
      <c r="E248" s="2347">
        <v>21237510</v>
      </c>
      <c r="F248" s="2347">
        <v>25387510</v>
      </c>
      <c r="G248" s="2468">
        <v>23276921.690000001</v>
      </c>
      <c r="H248" s="2486">
        <f t="shared" si="21"/>
        <v>0.91686509192906285</v>
      </c>
      <c r="J248" s="444"/>
    </row>
    <row r="249" spans="1:10" s="506" customFormat="1" ht="15" customHeight="1">
      <c r="A249" s="512"/>
      <c r="B249" s="514"/>
      <c r="C249" s="2359" t="s">
        <v>683</v>
      </c>
      <c r="D249" s="2370" t="s">
        <v>684</v>
      </c>
      <c r="E249" s="2347">
        <v>0</v>
      </c>
      <c r="F249" s="2347">
        <v>50000</v>
      </c>
      <c r="G249" s="2468">
        <v>5716.43</v>
      </c>
      <c r="H249" s="2486">
        <f t="shared" si="21"/>
        <v>0.1143286</v>
      </c>
      <c r="J249" s="444"/>
    </row>
    <row r="250" spans="1:10" s="506" customFormat="1" ht="15" customHeight="1">
      <c r="A250" s="512"/>
      <c r="B250" s="514"/>
      <c r="C250" s="2359" t="s">
        <v>327</v>
      </c>
      <c r="D250" s="2370" t="s">
        <v>586</v>
      </c>
      <c r="E250" s="2347">
        <v>1339411</v>
      </c>
      <c r="F250" s="2347">
        <v>1588311</v>
      </c>
      <c r="G250" s="2468">
        <v>963899.54</v>
      </c>
      <c r="H250" s="2486">
        <f t="shared" ref="H250:H259" si="22">G250/F250</f>
        <v>0.60687078286305396</v>
      </c>
      <c r="J250" s="444"/>
    </row>
    <row r="251" spans="1:10" s="506" customFormat="1" ht="27.75" customHeight="1">
      <c r="A251" s="512"/>
      <c r="B251" s="514"/>
      <c r="C251" s="2359" t="s">
        <v>587</v>
      </c>
      <c r="D251" s="2370" t="s">
        <v>588</v>
      </c>
      <c r="E251" s="2347">
        <v>25000</v>
      </c>
      <c r="F251" s="2347">
        <v>25000</v>
      </c>
      <c r="G251" s="2468">
        <v>11978.94</v>
      </c>
      <c r="H251" s="2486">
        <f t="shared" si="22"/>
        <v>0.47915760000000002</v>
      </c>
      <c r="J251" s="444"/>
    </row>
    <row r="252" spans="1:10" s="506" customFormat="1" ht="15" customHeight="1">
      <c r="A252" s="512"/>
      <c r="B252" s="514"/>
      <c r="C252" s="2359" t="s">
        <v>325</v>
      </c>
      <c r="D252" s="2370" t="s">
        <v>592</v>
      </c>
      <c r="E252" s="2347">
        <v>1090000</v>
      </c>
      <c r="F252" s="2347">
        <v>1090000</v>
      </c>
      <c r="G252" s="2468">
        <v>611566.97</v>
      </c>
      <c r="H252" s="2486">
        <f t="shared" si="22"/>
        <v>0.56107061467889907</v>
      </c>
      <c r="J252" s="444"/>
    </row>
    <row r="253" spans="1:10" s="506" customFormat="1" ht="15" customHeight="1">
      <c r="A253" s="512"/>
      <c r="B253" s="514"/>
      <c r="C253" s="2359" t="s">
        <v>323</v>
      </c>
      <c r="D253" s="2370" t="s">
        <v>594</v>
      </c>
      <c r="E253" s="2347">
        <v>167000</v>
      </c>
      <c r="F253" s="2347">
        <v>167000</v>
      </c>
      <c r="G253" s="2468">
        <v>135520</v>
      </c>
      <c r="H253" s="2486">
        <f t="shared" si="22"/>
        <v>0.81149700598802399</v>
      </c>
      <c r="J253" s="444"/>
    </row>
    <row r="254" spans="1:10" s="506" customFormat="1" ht="15" customHeight="1">
      <c r="A254" s="512"/>
      <c r="B254" s="514"/>
      <c r="C254" s="2359" t="s">
        <v>405</v>
      </c>
      <c r="D254" s="2370" t="s">
        <v>685</v>
      </c>
      <c r="E254" s="2347">
        <v>9000</v>
      </c>
      <c r="F254" s="2347">
        <v>9000</v>
      </c>
      <c r="G254" s="2468">
        <v>6475</v>
      </c>
      <c r="H254" s="2486">
        <f t="shared" si="22"/>
        <v>0.71944444444444444</v>
      </c>
      <c r="J254" s="444"/>
    </row>
    <row r="255" spans="1:10" s="506" customFormat="1" ht="15" customHeight="1" thickBot="1">
      <c r="A255" s="593"/>
      <c r="B255" s="565"/>
      <c r="C255" s="2360" t="s">
        <v>595</v>
      </c>
      <c r="D255" s="2361" t="s">
        <v>596</v>
      </c>
      <c r="E255" s="567">
        <v>300</v>
      </c>
      <c r="F255" s="567">
        <v>300</v>
      </c>
      <c r="G255" s="1149">
        <v>40</v>
      </c>
      <c r="H255" s="2469">
        <f t="shared" si="22"/>
        <v>0.13333333333333333</v>
      </c>
      <c r="J255" s="444"/>
    </row>
    <row r="256" spans="1:10" s="506" customFormat="1" ht="15" customHeight="1">
      <c r="A256" s="507"/>
      <c r="B256" s="2487"/>
      <c r="C256" s="2503" t="s">
        <v>362</v>
      </c>
      <c r="D256" s="2504" t="s">
        <v>597</v>
      </c>
      <c r="E256" s="2505">
        <v>193000</v>
      </c>
      <c r="F256" s="2505">
        <v>193000</v>
      </c>
      <c r="G256" s="2506">
        <v>103382.7</v>
      </c>
      <c r="H256" s="2507">
        <f t="shared" si="22"/>
        <v>0.53566165803108812</v>
      </c>
      <c r="J256" s="444"/>
    </row>
    <row r="257" spans="1:10" s="506" customFormat="1" ht="15" customHeight="1">
      <c r="A257" s="512"/>
      <c r="B257" s="514"/>
      <c r="C257" s="2359" t="s">
        <v>686</v>
      </c>
      <c r="D257" s="2370" t="s">
        <v>687</v>
      </c>
      <c r="E257" s="2347">
        <v>0</v>
      </c>
      <c r="F257" s="2347">
        <v>7</v>
      </c>
      <c r="G257" s="2468">
        <v>6.07</v>
      </c>
      <c r="H257" s="2502">
        <f t="shared" si="22"/>
        <v>0.86714285714285722</v>
      </c>
      <c r="J257" s="444"/>
    </row>
    <row r="258" spans="1:10" s="506" customFormat="1" ht="15" customHeight="1">
      <c r="A258" s="512"/>
      <c r="B258" s="514"/>
      <c r="C258" s="2359" t="s">
        <v>416</v>
      </c>
      <c r="D258" s="2370" t="s">
        <v>646</v>
      </c>
      <c r="E258" s="2347">
        <v>35000</v>
      </c>
      <c r="F258" s="2347">
        <v>102000</v>
      </c>
      <c r="G258" s="2468">
        <v>70805.5</v>
      </c>
      <c r="H258" s="2502">
        <f t="shared" si="22"/>
        <v>0.694171568627451</v>
      </c>
      <c r="J258" s="444"/>
    </row>
    <row r="259" spans="1:10" s="506" customFormat="1" ht="15" customHeight="1">
      <c r="A259" s="512"/>
      <c r="B259" s="514"/>
      <c r="C259" s="2359" t="s">
        <v>647</v>
      </c>
      <c r="D259" s="2370" t="s">
        <v>648</v>
      </c>
      <c r="E259" s="2347">
        <v>30000</v>
      </c>
      <c r="F259" s="2347">
        <v>329100</v>
      </c>
      <c r="G259" s="2468">
        <v>203142.09</v>
      </c>
      <c r="H259" s="2502">
        <f t="shared" si="22"/>
        <v>0.61726554238833176</v>
      </c>
      <c r="J259" s="444"/>
    </row>
    <row r="260" spans="1:10" s="506" customFormat="1" ht="15" customHeight="1">
      <c r="A260" s="512"/>
      <c r="B260" s="514"/>
      <c r="C260" s="2488"/>
      <c r="D260" s="2489"/>
      <c r="E260" s="2347"/>
      <c r="F260" s="2347"/>
      <c r="G260" s="2468"/>
      <c r="H260" s="2502"/>
      <c r="J260" s="444"/>
    </row>
    <row r="261" spans="1:10" s="506" customFormat="1" ht="15" customHeight="1">
      <c r="A261" s="512"/>
      <c r="B261" s="514"/>
      <c r="C261" s="4907" t="s">
        <v>603</v>
      </c>
      <c r="D261" s="4907"/>
      <c r="E261" s="2508">
        <f>SUM(E262)</f>
        <v>426821160</v>
      </c>
      <c r="F261" s="2508">
        <f>SUM(F262)</f>
        <v>492490731</v>
      </c>
      <c r="G261" s="2509">
        <f>SUM(G262)</f>
        <v>423118852.71000004</v>
      </c>
      <c r="H261" s="2510">
        <f t="shared" ref="H261:H272" si="23">G261/F261</f>
        <v>0.8591407433209135</v>
      </c>
      <c r="J261" s="444"/>
    </row>
    <row r="262" spans="1:10" s="506" customFormat="1" ht="15" customHeight="1">
      <c r="A262" s="512"/>
      <c r="B262" s="514"/>
      <c r="C262" s="4892" t="s">
        <v>688</v>
      </c>
      <c r="D262" s="4892"/>
      <c r="E262" s="2347">
        <f>SUM(E263:E272)</f>
        <v>426821160</v>
      </c>
      <c r="F262" s="2347">
        <f>SUM(F263:F272)</f>
        <v>492490731</v>
      </c>
      <c r="G262" s="2468">
        <f>SUM(G263:G272)</f>
        <v>423118852.71000004</v>
      </c>
      <c r="H262" s="2511">
        <f t="shared" si="23"/>
        <v>0.8591407433209135</v>
      </c>
      <c r="J262" s="444"/>
    </row>
    <row r="263" spans="1:10" s="506" customFormat="1" ht="15" customHeight="1">
      <c r="A263" s="512"/>
      <c r="B263" s="514"/>
      <c r="C263" s="2353" t="s">
        <v>339</v>
      </c>
      <c r="D263" s="2354" t="s">
        <v>671</v>
      </c>
      <c r="E263" s="2347">
        <v>285851163</v>
      </c>
      <c r="F263" s="2347">
        <v>260138657</v>
      </c>
      <c r="G263" s="2468">
        <v>213412103.74000001</v>
      </c>
      <c r="H263" s="2511">
        <f t="shared" si="23"/>
        <v>0.82037827903447669</v>
      </c>
      <c r="J263" s="444"/>
    </row>
    <row r="264" spans="1:10" s="506" customFormat="1" ht="15" customHeight="1">
      <c r="A264" s="514"/>
      <c r="B264" s="514"/>
      <c r="C264" s="2512" t="s">
        <v>672</v>
      </c>
      <c r="D264" s="2513" t="s">
        <v>671</v>
      </c>
      <c r="E264" s="2514">
        <v>84997854</v>
      </c>
      <c r="F264" s="2514">
        <v>141345759</v>
      </c>
      <c r="G264" s="2515">
        <v>138459129.97</v>
      </c>
      <c r="H264" s="2516">
        <f t="shared" si="23"/>
        <v>0.97957753348651944</v>
      </c>
      <c r="J264" s="444"/>
    </row>
    <row r="265" spans="1:10" s="506" customFormat="1" ht="15" customHeight="1">
      <c r="A265" s="512"/>
      <c r="B265" s="514"/>
      <c r="C265" s="2359" t="s">
        <v>673</v>
      </c>
      <c r="D265" s="2370" t="s">
        <v>671</v>
      </c>
      <c r="E265" s="2347">
        <v>14999623</v>
      </c>
      <c r="F265" s="2347">
        <v>24943370</v>
      </c>
      <c r="G265" s="2468">
        <v>24433964.170000002</v>
      </c>
      <c r="H265" s="2516">
        <f t="shared" si="23"/>
        <v>0.9795775057660614</v>
      </c>
      <c r="J265" s="444"/>
    </row>
    <row r="266" spans="1:10" s="506" customFormat="1" ht="15" customHeight="1">
      <c r="A266" s="512"/>
      <c r="B266" s="514"/>
      <c r="C266" s="2359" t="s">
        <v>354</v>
      </c>
      <c r="D266" s="2370" t="s">
        <v>605</v>
      </c>
      <c r="E266" s="2347">
        <v>21380000</v>
      </c>
      <c r="F266" s="2347">
        <v>48065482</v>
      </c>
      <c r="G266" s="2468">
        <v>34084595.100000001</v>
      </c>
      <c r="H266" s="2516">
        <f t="shared" si="23"/>
        <v>0.7091283324694424</v>
      </c>
      <c r="J266" s="444"/>
    </row>
    <row r="267" spans="1:10" s="506" customFormat="1" ht="15" customHeight="1">
      <c r="A267" s="512"/>
      <c r="B267" s="514"/>
      <c r="C267" s="2359" t="s">
        <v>668</v>
      </c>
      <c r="D267" s="2370" t="s">
        <v>605</v>
      </c>
      <c r="E267" s="2347">
        <v>0</v>
      </c>
      <c r="F267" s="2347">
        <v>4438260</v>
      </c>
      <c r="G267" s="2468">
        <v>2357939.37</v>
      </c>
      <c r="H267" s="2516">
        <f t="shared" si="23"/>
        <v>0.531275628286761</v>
      </c>
      <c r="J267" s="444"/>
    </row>
    <row r="268" spans="1:10" s="506" customFormat="1" ht="15" customHeight="1">
      <c r="A268" s="512"/>
      <c r="B268" s="514"/>
      <c r="C268" s="2359" t="s">
        <v>365</v>
      </c>
      <c r="D268" s="2490" t="s">
        <v>605</v>
      </c>
      <c r="E268" s="2347">
        <v>0</v>
      </c>
      <c r="F268" s="2347">
        <v>783224</v>
      </c>
      <c r="G268" s="2468">
        <v>416106.94</v>
      </c>
      <c r="H268" s="2516">
        <f t="shared" si="23"/>
        <v>0.53127450129209519</v>
      </c>
      <c r="J268" s="444"/>
    </row>
    <row r="269" spans="1:10" s="506" customFormat="1" ht="27.75" customHeight="1">
      <c r="A269" s="512"/>
      <c r="B269" s="514"/>
      <c r="C269" s="2491" t="s">
        <v>432</v>
      </c>
      <c r="D269" s="2492" t="s">
        <v>689</v>
      </c>
      <c r="E269" s="2347">
        <v>615000</v>
      </c>
      <c r="F269" s="2347">
        <v>897900</v>
      </c>
      <c r="G269" s="2468">
        <v>0</v>
      </c>
      <c r="H269" s="2511">
        <f t="shared" si="23"/>
        <v>0</v>
      </c>
      <c r="J269" s="444"/>
    </row>
    <row r="270" spans="1:10" s="506" customFormat="1" ht="54" customHeight="1">
      <c r="A270" s="514"/>
      <c r="B270" s="514"/>
      <c r="C270" s="2493" t="s">
        <v>99</v>
      </c>
      <c r="D270" s="2517" t="s">
        <v>675</v>
      </c>
      <c r="E270" s="2347">
        <v>0</v>
      </c>
      <c r="F270" s="2347">
        <v>3597559</v>
      </c>
      <c r="G270" s="2468">
        <v>3597558.65</v>
      </c>
      <c r="H270" s="2511">
        <f t="shared" si="23"/>
        <v>0.99999990271181094</v>
      </c>
      <c r="J270" s="444"/>
    </row>
    <row r="271" spans="1:10" s="506" customFormat="1" ht="28.5" customHeight="1">
      <c r="A271" s="512"/>
      <c r="B271" s="514"/>
      <c r="C271" s="2518" t="s">
        <v>690</v>
      </c>
      <c r="D271" s="2519" t="s">
        <v>691</v>
      </c>
      <c r="E271" s="2520">
        <v>16000000</v>
      </c>
      <c r="F271" s="2520">
        <v>2500000</v>
      </c>
      <c r="G271" s="2521">
        <v>2500000</v>
      </c>
      <c r="H271" s="2511">
        <f t="shared" si="23"/>
        <v>1</v>
      </c>
      <c r="J271" s="444"/>
    </row>
    <row r="272" spans="1:10" s="506" customFormat="1" ht="40.5" customHeight="1">
      <c r="A272" s="512"/>
      <c r="B272" s="514"/>
      <c r="C272" s="2494" t="s">
        <v>431</v>
      </c>
      <c r="D272" s="2495" t="s">
        <v>692</v>
      </c>
      <c r="E272" s="2347">
        <v>2977520</v>
      </c>
      <c r="F272" s="2347">
        <v>5780520</v>
      </c>
      <c r="G272" s="2468">
        <v>3857454.77</v>
      </c>
      <c r="H272" s="2511">
        <f t="shared" si="23"/>
        <v>0.66731968231231797</v>
      </c>
      <c r="J272" s="444"/>
    </row>
    <row r="273" spans="1:10" s="506" customFormat="1" ht="15">
      <c r="A273" s="514"/>
      <c r="B273" s="514"/>
      <c r="C273" s="2488"/>
      <c r="D273" s="2496"/>
      <c r="E273" s="2347"/>
      <c r="F273" s="2347"/>
      <c r="G273" s="2468"/>
      <c r="H273" s="2497"/>
      <c r="J273" s="444"/>
    </row>
    <row r="274" spans="1:10" s="506" customFormat="1" ht="15.75" customHeight="1">
      <c r="A274" s="514"/>
      <c r="B274" s="514"/>
      <c r="C274" s="4893" t="s">
        <v>669</v>
      </c>
      <c r="D274" s="4894"/>
      <c r="E274" s="2522">
        <f>SUM(E275:E281)</f>
        <v>132806672</v>
      </c>
      <c r="F274" s="2522">
        <f>SUM(F275:F281)</f>
        <v>219965202</v>
      </c>
      <c r="G274" s="2523">
        <f>SUM(G275:G281)</f>
        <v>205824991.65000001</v>
      </c>
      <c r="H274" s="2524">
        <f t="shared" ref="H274:H327" si="24">G274/F274</f>
        <v>0.93571614863881969</v>
      </c>
      <c r="J274" s="444"/>
    </row>
    <row r="275" spans="1:10" s="506" customFormat="1" ht="15.75" customHeight="1">
      <c r="A275" s="512"/>
      <c r="B275" s="514"/>
      <c r="C275" s="2348" t="s">
        <v>339</v>
      </c>
      <c r="D275" s="2498" t="s">
        <v>671</v>
      </c>
      <c r="E275" s="2499">
        <v>32809195</v>
      </c>
      <c r="F275" s="2499">
        <v>35131970</v>
      </c>
      <c r="G275" s="2500">
        <v>28521364.77</v>
      </c>
      <c r="H275" s="2524">
        <f t="shared" si="24"/>
        <v>0.8118350542255387</v>
      </c>
      <c r="J275" s="444"/>
    </row>
    <row r="276" spans="1:10" s="506" customFormat="1" ht="15.75" customHeight="1">
      <c r="A276" s="512"/>
      <c r="B276" s="514"/>
      <c r="C276" s="2348" t="s">
        <v>672</v>
      </c>
      <c r="D276" s="2498" t="s">
        <v>671</v>
      </c>
      <c r="E276" s="2499">
        <v>84997854</v>
      </c>
      <c r="F276" s="2499">
        <v>141345759</v>
      </c>
      <c r="G276" s="2500">
        <v>138459129.97</v>
      </c>
      <c r="H276" s="2524">
        <f t="shared" si="24"/>
        <v>0.97957753348651944</v>
      </c>
      <c r="J276" s="444"/>
    </row>
    <row r="277" spans="1:10" s="506" customFormat="1" ht="15.75" customHeight="1">
      <c r="A277" s="512"/>
      <c r="B277" s="514"/>
      <c r="C277" s="2359" t="s">
        <v>673</v>
      </c>
      <c r="D277" s="2370" t="s">
        <v>671</v>
      </c>
      <c r="E277" s="2499">
        <v>14999623</v>
      </c>
      <c r="F277" s="2499">
        <v>24943370</v>
      </c>
      <c r="G277" s="2500">
        <v>24433964.169999998</v>
      </c>
      <c r="H277" s="2524">
        <f t="shared" si="24"/>
        <v>0.97957750576606117</v>
      </c>
      <c r="J277" s="444"/>
    </row>
    <row r="278" spans="1:10" s="506" customFormat="1" ht="15.75" customHeight="1">
      <c r="A278" s="512"/>
      <c r="B278" s="514"/>
      <c r="C278" s="2353" t="s">
        <v>354</v>
      </c>
      <c r="D278" s="2354" t="s">
        <v>605</v>
      </c>
      <c r="E278" s="2499">
        <v>0</v>
      </c>
      <c r="F278" s="2499">
        <v>9725060</v>
      </c>
      <c r="G278" s="2500">
        <v>8038927.7800000003</v>
      </c>
      <c r="H278" s="2524">
        <f t="shared" si="24"/>
        <v>0.82661986455610559</v>
      </c>
      <c r="J278" s="444"/>
    </row>
    <row r="279" spans="1:10" s="506" customFormat="1" ht="15.75" customHeight="1">
      <c r="A279" s="512"/>
      <c r="B279" s="514"/>
      <c r="C279" s="2525" t="s">
        <v>668</v>
      </c>
      <c r="D279" s="2526" t="s">
        <v>605</v>
      </c>
      <c r="E279" s="2499">
        <v>0</v>
      </c>
      <c r="F279" s="2499">
        <v>4438260</v>
      </c>
      <c r="G279" s="2500">
        <v>2357939.37</v>
      </c>
      <c r="H279" s="2524">
        <f t="shared" si="24"/>
        <v>0.531275628286761</v>
      </c>
      <c r="J279" s="444"/>
    </row>
    <row r="280" spans="1:10" s="506" customFormat="1" ht="15.75" customHeight="1" thickBot="1">
      <c r="A280" s="593"/>
      <c r="B280" s="565"/>
      <c r="C280" s="2501" t="s">
        <v>365</v>
      </c>
      <c r="D280" s="2361" t="s">
        <v>605</v>
      </c>
      <c r="E280" s="644">
        <v>0</v>
      </c>
      <c r="F280" s="644">
        <v>783224</v>
      </c>
      <c r="G280" s="1350">
        <v>416106.94</v>
      </c>
      <c r="H280" s="2469">
        <f t="shared" si="24"/>
        <v>0.53127450129209519</v>
      </c>
      <c r="J280" s="444"/>
    </row>
    <row r="281" spans="1:10" s="506" customFormat="1" ht="53.25" customHeight="1" thickBot="1">
      <c r="A281" s="2487"/>
      <c r="B281" s="2487"/>
      <c r="C281" s="2539" t="s">
        <v>99</v>
      </c>
      <c r="D281" s="2527" t="s">
        <v>675</v>
      </c>
      <c r="E281" s="2540">
        <v>0</v>
      </c>
      <c r="F281" s="2540">
        <v>3597559</v>
      </c>
      <c r="G281" s="2541">
        <v>3597558.65</v>
      </c>
      <c r="H281" s="2507">
        <f t="shared" si="24"/>
        <v>0.99999990271181094</v>
      </c>
      <c r="J281" s="444"/>
    </row>
    <row r="282" spans="1:10" ht="15" customHeight="1" thickBot="1">
      <c r="A282" s="517"/>
      <c r="B282" s="2048" t="s">
        <v>429</v>
      </c>
      <c r="C282" s="2049"/>
      <c r="D282" s="2050" t="s">
        <v>428</v>
      </c>
      <c r="E282" s="2051">
        <f>SUM(E283)</f>
        <v>1060926</v>
      </c>
      <c r="F282" s="2346">
        <f t="shared" ref="F282:G282" si="25">SUM(F283)</f>
        <v>3324542</v>
      </c>
      <c r="G282" s="2466">
        <f t="shared" si="25"/>
        <v>3324540.56</v>
      </c>
      <c r="H282" s="2467">
        <f t="shared" si="24"/>
        <v>0.99999956685763036</v>
      </c>
    </row>
    <row r="283" spans="1:10" ht="15" customHeight="1">
      <c r="A283" s="517"/>
      <c r="B283" s="517"/>
      <c r="C283" s="4895" t="s">
        <v>603</v>
      </c>
      <c r="D283" s="4896"/>
      <c r="E283" s="2544">
        <f t="shared" ref="E283:G284" si="26">SUM(E284)</f>
        <v>1060926</v>
      </c>
      <c r="F283" s="2544">
        <f t="shared" si="26"/>
        <v>3324542</v>
      </c>
      <c r="G283" s="2545">
        <f t="shared" si="26"/>
        <v>3324540.56</v>
      </c>
      <c r="H283" s="2546">
        <f t="shared" si="24"/>
        <v>0.99999956685763036</v>
      </c>
    </row>
    <row r="284" spans="1:10" ht="15" customHeight="1">
      <c r="A284" s="517"/>
      <c r="B284" s="517"/>
      <c r="C284" s="4897" t="s">
        <v>604</v>
      </c>
      <c r="D284" s="4898"/>
      <c r="E284" s="2249">
        <f t="shared" si="26"/>
        <v>1060926</v>
      </c>
      <c r="F284" s="2249">
        <f t="shared" si="26"/>
        <v>3324542</v>
      </c>
      <c r="G284" s="2250">
        <f t="shared" si="26"/>
        <v>3324540.56</v>
      </c>
      <c r="H284" s="2547">
        <f t="shared" si="24"/>
        <v>0.99999956685763036</v>
      </c>
    </row>
    <row r="285" spans="1:10" ht="40.5" customHeight="1" thickBot="1">
      <c r="A285" s="522"/>
      <c r="B285" s="535"/>
      <c r="C285" s="2299" t="s">
        <v>310</v>
      </c>
      <c r="D285" s="2411" t="s">
        <v>693</v>
      </c>
      <c r="E285" s="503">
        <v>1060926</v>
      </c>
      <c r="F285" s="503">
        <v>3324542</v>
      </c>
      <c r="G285" s="702">
        <v>3324540.56</v>
      </c>
      <c r="H285" s="701">
        <f t="shared" si="24"/>
        <v>0.99999956685763036</v>
      </c>
    </row>
    <row r="286" spans="1:10" ht="15" customHeight="1" thickBot="1">
      <c r="A286" s="522"/>
      <c r="B286" s="2048" t="s">
        <v>427</v>
      </c>
      <c r="C286" s="2049"/>
      <c r="D286" s="2050" t="s">
        <v>426</v>
      </c>
      <c r="E286" s="2448">
        <f>SUM(E287,E291)</f>
        <v>1000000</v>
      </c>
      <c r="F286" s="2448">
        <f t="shared" ref="F286:G286" si="27">SUM(F287,F291)</f>
        <v>1805611</v>
      </c>
      <c r="G286" s="2449">
        <f t="shared" si="27"/>
        <v>590605.92999999993</v>
      </c>
      <c r="H286" s="2242">
        <f t="shared" si="24"/>
        <v>0.32709477844341883</v>
      </c>
    </row>
    <row r="287" spans="1:10" ht="15" customHeight="1">
      <c r="A287" s="517"/>
      <c r="B287" s="495"/>
      <c r="C287" s="4899" t="s">
        <v>567</v>
      </c>
      <c r="D287" s="4899"/>
      <c r="E287" s="2548">
        <f>SUM(E288)</f>
        <v>0</v>
      </c>
      <c r="F287" s="2548">
        <f t="shared" ref="F287:G287" si="28">SUM(F288)</f>
        <v>76000</v>
      </c>
      <c r="G287" s="2549">
        <f t="shared" si="28"/>
        <v>76000</v>
      </c>
      <c r="H287" s="2550">
        <f t="shared" si="24"/>
        <v>1</v>
      </c>
    </row>
    <row r="288" spans="1:10" ht="15" customHeight="1">
      <c r="A288" s="517"/>
      <c r="B288" s="495"/>
      <c r="C288" s="4900" t="s">
        <v>640</v>
      </c>
      <c r="D288" s="4900"/>
      <c r="E288" s="2551">
        <f>SUM(E289)</f>
        <v>0</v>
      </c>
      <c r="F288" s="2551">
        <f>SUM(F289)</f>
        <v>76000</v>
      </c>
      <c r="G288" s="2552">
        <f>SUM(G289)</f>
        <v>76000</v>
      </c>
      <c r="H288" s="2553">
        <f t="shared" si="24"/>
        <v>1</v>
      </c>
    </row>
    <row r="289" spans="1:10" ht="28.5" customHeight="1">
      <c r="A289" s="517"/>
      <c r="B289" s="495"/>
      <c r="C289" s="2437" t="s">
        <v>78</v>
      </c>
      <c r="D289" s="2248" t="s">
        <v>666</v>
      </c>
      <c r="E289" s="2249">
        <v>0</v>
      </c>
      <c r="F289" s="2249">
        <v>76000</v>
      </c>
      <c r="G289" s="2250">
        <v>76000</v>
      </c>
      <c r="H289" s="2547">
        <f t="shared" si="24"/>
        <v>1</v>
      </c>
    </row>
    <row r="290" spans="1:10">
      <c r="A290" s="517"/>
      <c r="B290" s="537"/>
      <c r="C290" s="2528"/>
      <c r="D290" s="2529"/>
      <c r="E290" s="2347"/>
      <c r="F290" s="2275"/>
      <c r="G290" s="2276"/>
      <c r="H290" s="2554"/>
    </row>
    <row r="291" spans="1:10" ht="15" customHeight="1">
      <c r="A291" s="517"/>
      <c r="B291" s="479"/>
      <c r="C291" s="4919" t="s">
        <v>603</v>
      </c>
      <c r="D291" s="4920"/>
      <c r="E291" s="529">
        <f t="shared" ref="E291:G292" si="29">SUM(E292)</f>
        <v>1000000</v>
      </c>
      <c r="F291" s="529">
        <f t="shared" si="29"/>
        <v>1729611</v>
      </c>
      <c r="G291" s="700">
        <f t="shared" si="29"/>
        <v>514605.93</v>
      </c>
      <c r="H291" s="2546">
        <f t="shared" si="24"/>
        <v>0.2975269757188177</v>
      </c>
    </row>
    <row r="292" spans="1:10" ht="15" customHeight="1">
      <c r="A292" s="517"/>
      <c r="B292" s="479"/>
      <c r="C292" s="4897" t="s">
        <v>604</v>
      </c>
      <c r="D292" s="4898"/>
      <c r="E292" s="2249">
        <f t="shared" si="29"/>
        <v>1000000</v>
      </c>
      <c r="F292" s="2249">
        <f t="shared" si="29"/>
        <v>1729611</v>
      </c>
      <c r="G292" s="2250">
        <f t="shared" si="29"/>
        <v>514605.93</v>
      </c>
      <c r="H292" s="2547">
        <f t="shared" si="24"/>
        <v>0.2975269757188177</v>
      </c>
    </row>
    <row r="293" spans="1:10" ht="42.75" customHeight="1" thickBot="1">
      <c r="A293" s="522"/>
      <c r="B293" s="502"/>
      <c r="C293" s="2299" t="s">
        <v>310</v>
      </c>
      <c r="D293" s="2282" t="s">
        <v>693</v>
      </c>
      <c r="E293" s="503">
        <v>1000000</v>
      </c>
      <c r="F293" s="503">
        <v>1729611</v>
      </c>
      <c r="G293" s="702">
        <v>514605.93</v>
      </c>
      <c r="H293" s="701">
        <f t="shared" si="24"/>
        <v>0.2975269757188177</v>
      </c>
    </row>
    <row r="294" spans="1:10" s="506" customFormat="1" ht="15" customHeight="1" thickBot="1">
      <c r="A294" s="512"/>
      <c r="B294" s="2343" t="s">
        <v>425</v>
      </c>
      <c r="C294" s="2530"/>
      <c r="D294" s="2345" t="s">
        <v>424</v>
      </c>
      <c r="E294" s="2531">
        <f>SUM(E295,E299)</f>
        <v>0</v>
      </c>
      <c r="F294" s="2531">
        <f t="shared" ref="F294:G294" si="30">SUM(F295,F299)</f>
        <v>737389</v>
      </c>
      <c r="G294" s="2532">
        <f t="shared" si="30"/>
        <v>611783.84000000008</v>
      </c>
      <c r="H294" s="2242">
        <f t="shared" si="24"/>
        <v>0.82966228137387465</v>
      </c>
      <c r="J294" s="444"/>
    </row>
    <row r="295" spans="1:10" s="506" customFormat="1" ht="15" customHeight="1">
      <c r="A295" s="512"/>
      <c r="B295" s="2533"/>
      <c r="C295" s="4921" t="s">
        <v>567</v>
      </c>
      <c r="D295" s="4922"/>
      <c r="E295" s="538">
        <f>SUM(E296)</f>
        <v>0</v>
      </c>
      <c r="F295" s="529">
        <f t="shared" ref="F295:G296" si="31">SUM(F296)</f>
        <v>461000</v>
      </c>
      <c r="G295" s="700">
        <f t="shared" si="31"/>
        <v>458394.84</v>
      </c>
      <c r="H295" s="2546">
        <f t="shared" si="24"/>
        <v>0.99434889370932755</v>
      </c>
      <c r="J295" s="444"/>
    </row>
    <row r="296" spans="1:10" s="506" customFormat="1" ht="15" customHeight="1">
      <c r="A296" s="512"/>
      <c r="B296" s="537"/>
      <c r="C296" s="4923" t="s">
        <v>640</v>
      </c>
      <c r="D296" s="4924"/>
      <c r="E296" s="2499">
        <f>SUM(E297)</f>
        <v>0</v>
      </c>
      <c r="F296" s="2534">
        <f t="shared" si="31"/>
        <v>461000</v>
      </c>
      <c r="G296" s="2535">
        <f t="shared" si="31"/>
        <v>458394.84</v>
      </c>
      <c r="H296" s="2547">
        <f t="shared" si="24"/>
        <v>0.99434889370932755</v>
      </c>
      <c r="J296" s="444"/>
    </row>
    <row r="297" spans="1:10" s="506" customFormat="1" ht="31.5" customHeight="1">
      <c r="A297" s="512"/>
      <c r="B297" s="537"/>
      <c r="C297" s="2536" t="s">
        <v>78</v>
      </c>
      <c r="D297" s="2537" t="s">
        <v>666</v>
      </c>
      <c r="E297" s="2499">
        <v>0</v>
      </c>
      <c r="F297" s="2534">
        <v>461000</v>
      </c>
      <c r="G297" s="2535">
        <v>458394.84</v>
      </c>
      <c r="H297" s="2547">
        <f t="shared" si="24"/>
        <v>0.99434889370932755</v>
      </c>
      <c r="J297" s="444"/>
    </row>
    <row r="298" spans="1:10" ht="15" customHeight="1">
      <c r="A298" s="517"/>
      <c r="B298" s="537"/>
      <c r="C298" s="2528"/>
      <c r="D298" s="2529"/>
      <c r="E298" s="2347"/>
      <c r="F298" s="2275"/>
      <c r="G298" s="2276"/>
      <c r="H298" s="2554"/>
    </row>
    <row r="299" spans="1:10" s="506" customFormat="1" ht="15" customHeight="1">
      <c r="A299" s="512"/>
      <c r="B299" s="514"/>
      <c r="C299" s="4925" t="s">
        <v>603</v>
      </c>
      <c r="D299" s="4925"/>
      <c r="E299" s="538">
        <f t="shared" ref="E299:G299" si="32">SUM(E300)</f>
        <v>0</v>
      </c>
      <c r="F299" s="529">
        <f t="shared" si="32"/>
        <v>276389</v>
      </c>
      <c r="G299" s="700">
        <f t="shared" si="32"/>
        <v>153389</v>
      </c>
      <c r="H299" s="2546">
        <f t="shared" si="24"/>
        <v>0.55497505327636054</v>
      </c>
      <c r="J299" s="444"/>
    </row>
    <row r="300" spans="1:10" s="506" customFormat="1" ht="15" customHeight="1">
      <c r="A300" s="512"/>
      <c r="B300" s="514"/>
      <c r="C300" s="4926" t="s">
        <v>604</v>
      </c>
      <c r="D300" s="4927"/>
      <c r="E300" s="2446">
        <f>SUM(E301:E302)</f>
        <v>0</v>
      </c>
      <c r="F300" s="2446">
        <f>SUM(F301:F302)</f>
        <v>276389</v>
      </c>
      <c r="G300" s="2538">
        <f>SUM(G301:G302)</f>
        <v>153389</v>
      </c>
      <c r="H300" s="2547">
        <f t="shared" si="24"/>
        <v>0.55497505327636054</v>
      </c>
      <c r="J300" s="444"/>
    </row>
    <row r="301" spans="1:10" s="506" customFormat="1" ht="15" customHeight="1">
      <c r="A301" s="512"/>
      <c r="B301" s="514"/>
      <c r="C301" s="2355" t="s">
        <v>339</v>
      </c>
      <c r="D301" s="2356" t="s">
        <v>671</v>
      </c>
      <c r="E301" s="2249">
        <v>0</v>
      </c>
      <c r="F301" s="2249">
        <v>246000</v>
      </c>
      <c r="G301" s="2250">
        <v>123000</v>
      </c>
      <c r="H301" s="2547">
        <f t="shared" si="24"/>
        <v>0.5</v>
      </c>
      <c r="J301" s="444"/>
    </row>
    <row r="302" spans="1:10" ht="40.5" customHeight="1" thickBot="1">
      <c r="A302" s="535"/>
      <c r="B302" s="539"/>
      <c r="C302" s="2281" t="s">
        <v>310</v>
      </c>
      <c r="D302" s="2282" t="s">
        <v>693</v>
      </c>
      <c r="E302" s="503">
        <v>0</v>
      </c>
      <c r="F302" s="503">
        <v>30389</v>
      </c>
      <c r="G302" s="702">
        <v>30389</v>
      </c>
      <c r="H302" s="2245">
        <f t="shared" si="24"/>
        <v>1</v>
      </c>
    </row>
    <row r="303" spans="1:10" ht="15" customHeight="1" thickBot="1">
      <c r="A303" s="2431"/>
      <c r="B303" s="2343" t="s">
        <v>423</v>
      </c>
      <c r="C303" s="2344"/>
      <c r="D303" s="2345" t="s">
        <v>377</v>
      </c>
      <c r="E303" s="2346">
        <f>SUM(E304)</f>
        <v>0</v>
      </c>
      <c r="F303" s="2346">
        <f t="shared" ref="F303:G303" si="33">SUM(F304)</f>
        <v>400001</v>
      </c>
      <c r="G303" s="2466">
        <f t="shared" si="33"/>
        <v>400000.83</v>
      </c>
      <c r="H303" s="2467">
        <f t="shared" si="24"/>
        <v>0.99999957500106251</v>
      </c>
    </row>
    <row r="304" spans="1:10" ht="15" customHeight="1">
      <c r="A304" s="517"/>
      <c r="B304" s="4908"/>
      <c r="C304" s="4909" t="s">
        <v>603</v>
      </c>
      <c r="D304" s="4910"/>
      <c r="E304" s="2555">
        <f>E305</f>
        <v>0</v>
      </c>
      <c r="F304" s="2555">
        <f>F305</f>
        <v>400001</v>
      </c>
      <c r="G304" s="2556">
        <f>G305</f>
        <v>400000.83</v>
      </c>
      <c r="H304" s="2557">
        <f t="shared" si="24"/>
        <v>0.99999957500106251</v>
      </c>
    </row>
    <row r="305" spans="1:10" ht="15" customHeight="1">
      <c r="A305" s="517"/>
      <c r="B305" s="4908"/>
      <c r="C305" s="4911" t="s">
        <v>604</v>
      </c>
      <c r="D305" s="4912"/>
      <c r="E305" s="2347">
        <f>SUM(E306:E307)</f>
        <v>0</v>
      </c>
      <c r="F305" s="2347">
        <f>SUM(F306:F307)</f>
        <v>400001</v>
      </c>
      <c r="G305" s="2468">
        <f>SUM(G306:G307)</f>
        <v>400000.83</v>
      </c>
      <c r="H305" s="2558">
        <f t="shared" si="24"/>
        <v>0.99999957500106251</v>
      </c>
    </row>
    <row r="306" spans="1:10" ht="15" customHeight="1">
      <c r="A306" s="517"/>
      <c r="B306" s="4908"/>
      <c r="C306" s="2559" t="s">
        <v>339</v>
      </c>
      <c r="D306" s="2356" t="s">
        <v>671</v>
      </c>
      <c r="E306" s="2347">
        <v>0</v>
      </c>
      <c r="F306" s="2347">
        <v>134753</v>
      </c>
      <c r="G306" s="2468">
        <v>134752.99</v>
      </c>
      <c r="H306" s="2558">
        <f t="shared" si="24"/>
        <v>0.99999992579014929</v>
      </c>
    </row>
    <row r="307" spans="1:10" ht="29.25" customHeight="1" thickBot="1">
      <c r="A307" s="517"/>
      <c r="B307" s="4908"/>
      <c r="C307" s="2559" t="s">
        <v>432</v>
      </c>
      <c r="D307" s="2560" t="s">
        <v>689</v>
      </c>
      <c r="E307" s="2347">
        <v>0</v>
      </c>
      <c r="F307" s="2347">
        <v>265248</v>
      </c>
      <c r="G307" s="2468">
        <v>265247.84000000003</v>
      </c>
      <c r="H307" s="2558">
        <f t="shared" si="24"/>
        <v>0.99999939679092786</v>
      </c>
    </row>
    <row r="308" spans="1:10" ht="15" customHeight="1" thickBot="1">
      <c r="A308" s="517"/>
      <c r="B308" s="2343" t="s">
        <v>422</v>
      </c>
      <c r="C308" s="541"/>
      <c r="D308" s="542" t="s">
        <v>44</v>
      </c>
      <c r="E308" s="2561">
        <f t="shared" ref="E308:G309" si="34">SUM(E309)</f>
        <v>832605</v>
      </c>
      <c r="F308" s="2562">
        <f t="shared" si="34"/>
        <v>912743</v>
      </c>
      <c r="G308" s="2563">
        <f t="shared" si="34"/>
        <v>877754.18</v>
      </c>
      <c r="H308" s="2242">
        <f t="shared" si="24"/>
        <v>0.9616662959891229</v>
      </c>
    </row>
    <row r="309" spans="1:10" ht="15" customHeight="1">
      <c r="A309" s="517"/>
      <c r="B309" s="1353"/>
      <c r="C309" s="4913" t="s">
        <v>567</v>
      </c>
      <c r="D309" s="4914"/>
      <c r="E309" s="2564">
        <f t="shared" si="34"/>
        <v>832605</v>
      </c>
      <c r="F309" s="2565">
        <f t="shared" si="34"/>
        <v>912743</v>
      </c>
      <c r="G309" s="2566">
        <f t="shared" si="34"/>
        <v>877754.18</v>
      </c>
      <c r="H309" s="2546">
        <f t="shared" si="24"/>
        <v>0.9616662959891229</v>
      </c>
    </row>
    <row r="310" spans="1:10" ht="15" customHeight="1">
      <c r="A310" s="517"/>
      <c r="B310" s="515"/>
      <c r="C310" s="4915" t="s">
        <v>568</v>
      </c>
      <c r="D310" s="4916"/>
      <c r="E310" s="2347">
        <f>SUM(E311,E318)</f>
        <v>832605</v>
      </c>
      <c r="F310" s="2249">
        <f>SUM(F311,F318)</f>
        <v>912743</v>
      </c>
      <c r="G310" s="2250">
        <f>SUM(G311,G318)</f>
        <v>877754.18</v>
      </c>
      <c r="H310" s="2547">
        <f t="shared" si="24"/>
        <v>0.9616662959891229</v>
      </c>
    </row>
    <row r="311" spans="1:10" ht="15" customHeight="1">
      <c r="A311" s="517"/>
      <c r="B311" s="515"/>
      <c r="C311" s="4917" t="s">
        <v>569</v>
      </c>
      <c r="D311" s="4918"/>
      <c r="E311" s="2567">
        <f>SUM(E312:E316)</f>
        <v>659605</v>
      </c>
      <c r="F311" s="2251">
        <f>SUM(F312:F316)</f>
        <v>739743</v>
      </c>
      <c r="G311" s="2252">
        <f>SUM(G312:G316)</f>
        <v>731425.39</v>
      </c>
      <c r="H311" s="2547">
        <f t="shared" si="24"/>
        <v>0.98875608150398175</v>
      </c>
      <c r="J311" s="444" t="s">
        <v>645</v>
      </c>
    </row>
    <row r="312" spans="1:10" ht="15" customHeight="1">
      <c r="A312" s="517"/>
      <c r="B312" s="515"/>
      <c r="C312" s="2559" t="s">
        <v>337</v>
      </c>
      <c r="D312" s="2560" t="s">
        <v>571</v>
      </c>
      <c r="E312" s="2568">
        <v>515390</v>
      </c>
      <c r="F312" s="2568">
        <v>580771</v>
      </c>
      <c r="G312" s="2569">
        <v>575998.94999999995</v>
      </c>
      <c r="H312" s="2547">
        <f t="shared" si="24"/>
        <v>0.9917832501967212</v>
      </c>
    </row>
    <row r="313" spans="1:10" ht="15" customHeight="1">
      <c r="A313" s="517"/>
      <c r="B313" s="515"/>
      <c r="C313" s="2559" t="s">
        <v>336</v>
      </c>
      <c r="D313" s="2560" t="s">
        <v>572</v>
      </c>
      <c r="E313" s="2568">
        <v>38620</v>
      </c>
      <c r="F313" s="2568">
        <v>34620</v>
      </c>
      <c r="G313" s="2569">
        <v>34212.29</v>
      </c>
      <c r="H313" s="2547">
        <f t="shared" si="24"/>
        <v>0.98822328134026571</v>
      </c>
    </row>
    <row r="314" spans="1:10" ht="15" customHeight="1">
      <c r="A314" s="517"/>
      <c r="B314" s="515"/>
      <c r="C314" s="2559" t="s">
        <v>315</v>
      </c>
      <c r="D314" s="2560" t="s">
        <v>573</v>
      </c>
      <c r="E314" s="2568">
        <v>90267</v>
      </c>
      <c r="F314" s="2568">
        <v>104692</v>
      </c>
      <c r="G314" s="2569">
        <v>103236.35</v>
      </c>
      <c r="H314" s="2547">
        <f t="shared" si="24"/>
        <v>0.98609588125167158</v>
      </c>
    </row>
    <row r="315" spans="1:10" ht="15" customHeight="1">
      <c r="A315" s="517"/>
      <c r="B315" s="515"/>
      <c r="C315" s="2559" t="s">
        <v>314</v>
      </c>
      <c r="D315" s="2560" t="s">
        <v>574</v>
      </c>
      <c r="E315" s="2568">
        <v>15027</v>
      </c>
      <c r="F315" s="2568">
        <v>15909</v>
      </c>
      <c r="G315" s="2569">
        <v>14688.01</v>
      </c>
      <c r="H315" s="2547">
        <f t="shared" si="24"/>
        <v>0.92325161858067761</v>
      </c>
    </row>
    <row r="316" spans="1:10" ht="15" customHeight="1">
      <c r="A316" s="517"/>
      <c r="B316" s="515"/>
      <c r="C316" s="2559" t="s">
        <v>335</v>
      </c>
      <c r="D316" s="2574" t="s">
        <v>576</v>
      </c>
      <c r="E316" s="2568">
        <v>301</v>
      </c>
      <c r="F316" s="2568">
        <v>3751</v>
      </c>
      <c r="G316" s="2569">
        <v>3289.79</v>
      </c>
      <c r="H316" s="2547">
        <f t="shared" si="24"/>
        <v>0.87704345507864567</v>
      </c>
    </row>
    <row r="317" spans="1:10" ht="15" customHeight="1">
      <c r="A317" s="517"/>
      <c r="B317" s="515"/>
      <c r="C317" s="2570"/>
      <c r="D317" s="2571"/>
      <c r="E317" s="2347"/>
      <c r="F317" s="2275"/>
      <c r="G317" s="2276"/>
      <c r="H317" s="2554"/>
    </row>
    <row r="318" spans="1:10" ht="15" customHeight="1">
      <c r="A318" s="517"/>
      <c r="B318" s="515"/>
      <c r="C318" s="4939" t="s">
        <v>577</v>
      </c>
      <c r="D318" s="4940"/>
      <c r="E318" s="2567">
        <f>SUM(E319)</f>
        <v>173000</v>
      </c>
      <c r="F318" s="2251">
        <f>SUM(F319)</f>
        <v>173000</v>
      </c>
      <c r="G318" s="2252">
        <f>SUM(G319)</f>
        <v>146328.79</v>
      </c>
      <c r="H318" s="2547">
        <f t="shared" si="24"/>
        <v>0.84583115606936421</v>
      </c>
    </row>
    <row r="319" spans="1:10" ht="15" customHeight="1" thickBot="1">
      <c r="A319" s="535"/>
      <c r="B319" s="583"/>
      <c r="C319" s="2572" t="s">
        <v>312</v>
      </c>
      <c r="D319" s="2573" t="s">
        <v>584</v>
      </c>
      <c r="E319" s="567">
        <v>173000</v>
      </c>
      <c r="F319" s="503">
        <v>173000</v>
      </c>
      <c r="G319" s="702">
        <v>146328.79</v>
      </c>
      <c r="H319" s="2245">
        <f t="shared" si="24"/>
        <v>0.84583115606936421</v>
      </c>
      <c r="J319" s="444" t="s">
        <v>663</v>
      </c>
    </row>
    <row r="320" spans="1:10" s="444" customFormat="1" ht="15" customHeight="1" thickBot="1">
      <c r="A320" s="2312" t="s">
        <v>421</v>
      </c>
      <c r="B320" s="2313"/>
      <c r="C320" s="2314"/>
      <c r="D320" s="2315" t="s">
        <v>694</v>
      </c>
      <c r="E320" s="2316">
        <f>SUM(E321,E331)</f>
        <v>3577707</v>
      </c>
      <c r="F320" s="2316">
        <f>SUM(F321,F331)</f>
        <v>3610851</v>
      </c>
      <c r="G320" s="2317">
        <f>SUM(G321,G331)</f>
        <v>3556547.3000000003</v>
      </c>
      <c r="H320" s="2341">
        <f t="shared" si="24"/>
        <v>0.98496096903472352</v>
      </c>
    </row>
    <row r="321" spans="1:10" s="444" customFormat="1" ht="15" customHeight="1" thickBot="1">
      <c r="A321" s="477"/>
      <c r="B321" s="2048" t="s">
        <v>420</v>
      </c>
      <c r="C321" s="2049"/>
      <c r="D321" s="2050" t="s">
        <v>695</v>
      </c>
      <c r="E321" s="2051">
        <f>SUM(E322)</f>
        <v>2990565</v>
      </c>
      <c r="F321" s="2051">
        <f>SUM(F322)</f>
        <v>2990565</v>
      </c>
      <c r="G321" s="2052">
        <f>SUM(G322)</f>
        <v>2976873.1100000003</v>
      </c>
      <c r="H321" s="2242">
        <f t="shared" si="24"/>
        <v>0.99542163771728764</v>
      </c>
      <c r="J321" s="444" t="s">
        <v>696</v>
      </c>
    </row>
    <row r="322" spans="1:10" s="444" customFormat="1" ht="15" customHeight="1">
      <c r="A322" s="477"/>
      <c r="B322" s="479"/>
      <c r="C322" s="4941" t="s">
        <v>567</v>
      </c>
      <c r="D322" s="4941"/>
      <c r="E322" s="2584">
        <f>SUM(E323,E329)</f>
        <v>2990565</v>
      </c>
      <c r="F322" s="2584">
        <f>SUM(F323,F329)</f>
        <v>2990565</v>
      </c>
      <c r="G322" s="2585">
        <f>SUM(G323,G329)</f>
        <v>2976873.1100000003</v>
      </c>
      <c r="H322" s="2586">
        <f t="shared" si="24"/>
        <v>0.99542163771728764</v>
      </c>
    </row>
    <row r="323" spans="1:10" s="444" customFormat="1" ht="15" customHeight="1">
      <c r="A323" s="477"/>
      <c r="B323" s="479"/>
      <c r="C323" s="4942" t="s">
        <v>568</v>
      </c>
      <c r="D323" s="4942"/>
      <c r="E323" s="2249">
        <f>SUM(E324)</f>
        <v>1421965</v>
      </c>
      <c r="F323" s="2249">
        <f>SUM(F324)</f>
        <v>1435196</v>
      </c>
      <c r="G323" s="2250">
        <f>SUM(G324)</f>
        <v>1424830.52</v>
      </c>
      <c r="H323" s="2583">
        <f t="shared" si="24"/>
        <v>0.99277765545611885</v>
      </c>
    </row>
    <row r="324" spans="1:10" s="444" customFormat="1" ht="15" customHeight="1">
      <c r="A324" s="477"/>
      <c r="B324" s="479"/>
      <c r="C324" s="4943" t="s">
        <v>577</v>
      </c>
      <c r="D324" s="4943"/>
      <c r="E324" s="2251">
        <f>SUM(E325:E327)</f>
        <v>1421965</v>
      </c>
      <c r="F324" s="2251">
        <f>SUM(F325:F327)</f>
        <v>1435196</v>
      </c>
      <c r="G324" s="2252">
        <f>SUM(G325:G327)</f>
        <v>1424830.52</v>
      </c>
      <c r="H324" s="2583">
        <f t="shared" si="24"/>
        <v>0.99277765545611885</v>
      </c>
    </row>
    <row r="325" spans="1:10" s="444" customFormat="1" ht="15" customHeight="1">
      <c r="A325" s="477"/>
      <c r="B325" s="479"/>
      <c r="C325" s="2575" t="s">
        <v>313</v>
      </c>
      <c r="D325" s="2576" t="s">
        <v>579</v>
      </c>
      <c r="E325" s="2249">
        <v>171965</v>
      </c>
      <c r="F325" s="2249">
        <v>149835</v>
      </c>
      <c r="G325" s="2250">
        <v>149835</v>
      </c>
      <c r="H325" s="2583">
        <f t="shared" si="24"/>
        <v>1</v>
      </c>
    </row>
    <row r="326" spans="1:10" s="444" customFormat="1" ht="15" customHeight="1">
      <c r="A326" s="477"/>
      <c r="B326" s="479"/>
      <c r="C326" s="2575" t="s">
        <v>312</v>
      </c>
      <c r="D326" s="2576" t="s">
        <v>584</v>
      </c>
      <c r="E326" s="2249">
        <v>300000</v>
      </c>
      <c r="F326" s="2249">
        <v>335361</v>
      </c>
      <c r="G326" s="2250">
        <v>324995.52</v>
      </c>
      <c r="H326" s="2583">
        <f t="shared" si="24"/>
        <v>0.96909157594353557</v>
      </c>
    </row>
    <row r="327" spans="1:10" s="444" customFormat="1" ht="15" customHeight="1">
      <c r="A327" s="477"/>
      <c r="B327" s="479"/>
      <c r="C327" s="2577" t="s">
        <v>325</v>
      </c>
      <c r="D327" s="2578" t="s">
        <v>592</v>
      </c>
      <c r="E327" s="2347">
        <f>750000+200000</f>
        <v>950000</v>
      </c>
      <c r="F327" s="2249">
        <v>950000</v>
      </c>
      <c r="G327" s="2250">
        <v>950000</v>
      </c>
      <c r="H327" s="2583">
        <f t="shared" si="24"/>
        <v>1</v>
      </c>
    </row>
    <row r="328" spans="1:10" s="444" customFormat="1" ht="15" customHeight="1">
      <c r="A328" s="479"/>
      <c r="B328" s="479"/>
      <c r="C328" s="2579"/>
      <c r="D328" s="2580"/>
      <c r="E328" s="2249"/>
      <c r="F328" s="2275"/>
      <c r="G328" s="2276"/>
      <c r="H328" s="2587"/>
    </row>
    <row r="329" spans="1:10" s="444" customFormat="1" ht="15" customHeight="1">
      <c r="A329" s="477"/>
      <c r="B329" s="479"/>
      <c r="C329" s="4944" t="s">
        <v>640</v>
      </c>
      <c r="D329" s="4944"/>
      <c r="E329" s="2588">
        <f>SUM(E330)</f>
        <v>1568600</v>
      </c>
      <c r="F329" s="2588">
        <f>SUM(F330)</f>
        <v>1555369</v>
      </c>
      <c r="G329" s="2589">
        <f>SUM(G330)</f>
        <v>1552042.59</v>
      </c>
      <c r="H329" s="2590">
        <f>G329/F329</f>
        <v>0.99786133708464042</v>
      </c>
    </row>
    <row r="330" spans="1:10" s="444" customFormat="1" ht="51.75" thickBot="1">
      <c r="A330" s="501"/>
      <c r="B330" s="502"/>
      <c r="C330" s="2581" t="s">
        <v>91</v>
      </c>
      <c r="D330" s="2582" t="s">
        <v>697</v>
      </c>
      <c r="E330" s="503">
        <v>1568600</v>
      </c>
      <c r="F330" s="503">
        <v>1555369</v>
      </c>
      <c r="G330" s="702">
        <v>1552042.59</v>
      </c>
      <c r="H330" s="2245">
        <f>G330/F330</f>
        <v>0.99786133708464042</v>
      </c>
    </row>
    <row r="331" spans="1:10" s="444" customFormat="1" ht="15" customHeight="1" thickBot="1">
      <c r="A331" s="500"/>
      <c r="B331" s="2048" t="s">
        <v>419</v>
      </c>
      <c r="C331" s="2049"/>
      <c r="D331" s="2050" t="s">
        <v>44</v>
      </c>
      <c r="E331" s="2051">
        <f>SUM(E332)</f>
        <v>587142</v>
      </c>
      <c r="F331" s="2051">
        <f t="shared" ref="F331:G332" si="35">SUM(F332)</f>
        <v>620286</v>
      </c>
      <c r="G331" s="2052">
        <f t="shared" si="35"/>
        <v>579674.18999999994</v>
      </c>
      <c r="H331" s="2242">
        <f t="shared" ref="H331:H339" si="36">G331/F331</f>
        <v>0.93452728257610185</v>
      </c>
    </row>
    <row r="332" spans="1:10" s="444" customFormat="1" ht="15">
      <c r="A332" s="477"/>
      <c r="B332" s="2054"/>
      <c r="C332" s="4945" t="s">
        <v>567</v>
      </c>
      <c r="D332" s="4946"/>
      <c r="E332" s="2595">
        <f>SUM(E333)</f>
        <v>587142</v>
      </c>
      <c r="F332" s="2595">
        <f t="shared" si="35"/>
        <v>620286</v>
      </c>
      <c r="G332" s="2596">
        <f t="shared" si="35"/>
        <v>579674.18999999994</v>
      </c>
      <c r="H332" s="2597">
        <f t="shared" si="36"/>
        <v>0.93452728257610185</v>
      </c>
    </row>
    <row r="333" spans="1:10" s="444" customFormat="1" ht="15">
      <c r="A333" s="477"/>
      <c r="B333" s="487"/>
      <c r="C333" s="4928" t="s">
        <v>568</v>
      </c>
      <c r="D333" s="4929"/>
      <c r="E333" s="2534">
        <f>SUM(E334,E341)</f>
        <v>587142</v>
      </c>
      <c r="F333" s="2534">
        <f>SUM(F334,F341)</f>
        <v>620286</v>
      </c>
      <c r="G333" s="2535">
        <f>SUM(G334,G341)</f>
        <v>579674.18999999994</v>
      </c>
      <c r="H333" s="2598">
        <f t="shared" si="36"/>
        <v>0.93452728257610185</v>
      </c>
    </row>
    <row r="334" spans="1:10" s="444" customFormat="1" ht="15">
      <c r="A334" s="477"/>
      <c r="B334" s="487"/>
      <c r="C334" s="4930" t="s">
        <v>569</v>
      </c>
      <c r="D334" s="4930"/>
      <c r="E334" s="2251">
        <f>SUM(E335:E339)</f>
        <v>577142</v>
      </c>
      <c r="F334" s="2251">
        <f>SUM(F335:F339)</f>
        <v>610286</v>
      </c>
      <c r="G334" s="2252">
        <f>SUM(G335:G339)</f>
        <v>579674.18999999994</v>
      </c>
      <c r="H334" s="2598">
        <f t="shared" si="36"/>
        <v>0.94984022245307931</v>
      </c>
      <c r="J334" s="444" t="s">
        <v>645</v>
      </c>
    </row>
    <row r="335" spans="1:10" s="444" customFormat="1" ht="15">
      <c r="A335" s="477"/>
      <c r="B335" s="487"/>
      <c r="C335" s="2577" t="s">
        <v>337</v>
      </c>
      <c r="D335" s="2578" t="s">
        <v>571</v>
      </c>
      <c r="E335" s="2568">
        <v>456448</v>
      </c>
      <c r="F335" s="2568">
        <v>483633</v>
      </c>
      <c r="G335" s="2569">
        <v>469539.66</v>
      </c>
      <c r="H335" s="2598">
        <f t="shared" si="36"/>
        <v>0.97085943266898656</v>
      </c>
    </row>
    <row r="336" spans="1:10" s="444" customFormat="1" ht="15">
      <c r="A336" s="477"/>
      <c r="B336" s="487"/>
      <c r="C336" s="2577" t="s">
        <v>336</v>
      </c>
      <c r="D336" s="2578" t="s">
        <v>572</v>
      </c>
      <c r="E336" s="2568">
        <v>28278</v>
      </c>
      <c r="F336" s="2568">
        <v>28278</v>
      </c>
      <c r="G336" s="2569">
        <v>22889.43</v>
      </c>
      <c r="H336" s="2598">
        <f t="shared" si="36"/>
        <v>0.80944302991725015</v>
      </c>
    </row>
    <row r="337" spans="1:10" s="444" customFormat="1" ht="15">
      <c r="A337" s="477"/>
      <c r="B337" s="487"/>
      <c r="C337" s="2577" t="s">
        <v>315</v>
      </c>
      <c r="D337" s="2578" t="s">
        <v>573</v>
      </c>
      <c r="E337" s="2568">
        <v>76003</v>
      </c>
      <c r="F337" s="2568">
        <v>80679</v>
      </c>
      <c r="G337" s="2569">
        <v>76409.13</v>
      </c>
      <c r="H337" s="2598">
        <f t="shared" si="36"/>
        <v>0.9470758189863534</v>
      </c>
    </row>
    <row r="338" spans="1:10" s="444" customFormat="1" ht="15">
      <c r="A338" s="479"/>
      <c r="B338" s="487"/>
      <c r="C338" s="2591" t="s">
        <v>314</v>
      </c>
      <c r="D338" s="2580" t="s">
        <v>574</v>
      </c>
      <c r="E338" s="2568">
        <v>12544</v>
      </c>
      <c r="F338" s="2568">
        <v>13217</v>
      </c>
      <c r="G338" s="2569">
        <v>6559.77</v>
      </c>
      <c r="H338" s="2598">
        <f t="shared" si="36"/>
        <v>0.49631308163728532</v>
      </c>
    </row>
    <row r="339" spans="1:10" s="444" customFormat="1" ht="15">
      <c r="A339" s="477"/>
      <c r="B339" s="487"/>
      <c r="C339" s="2592" t="s">
        <v>335</v>
      </c>
      <c r="D339" s="2578" t="s">
        <v>576</v>
      </c>
      <c r="E339" s="2568">
        <v>3869</v>
      </c>
      <c r="F339" s="2568">
        <v>4479</v>
      </c>
      <c r="G339" s="2569">
        <v>4276.2</v>
      </c>
      <c r="H339" s="2598">
        <f t="shared" si="36"/>
        <v>0.95472203616878759</v>
      </c>
    </row>
    <row r="340" spans="1:10" s="444" customFormat="1" ht="15">
      <c r="A340" s="477"/>
      <c r="B340" s="487"/>
      <c r="C340" s="4931"/>
      <c r="D340" s="4932"/>
      <c r="E340" s="2249"/>
      <c r="F340" s="2249"/>
      <c r="G340" s="2250"/>
      <c r="H340" s="2598"/>
    </row>
    <row r="341" spans="1:10" s="444" customFormat="1" ht="15">
      <c r="A341" s="479"/>
      <c r="B341" s="487"/>
      <c r="C341" s="4933" t="s">
        <v>577</v>
      </c>
      <c r="D341" s="4934"/>
      <c r="E341" s="2593">
        <f>SUM(E342)</f>
        <v>10000</v>
      </c>
      <c r="F341" s="2593">
        <f>SUM(F342)</f>
        <v>10000</v>
      </c>
      <c r="G341" s="2594">
        <f>SUM(G342)</f>
        <v>0</v>
      </c>
      <c r="H341" s="2598">
        <f t="shared" ref="H341:H355" si="37">G341/F341</f>
        <v>0</v>
      </c>
    </row>
    <row r="342" spans="1:10" s="444" customFormat="1" ht="15.75" thickBot="1">
      <c r="A342" s="501"/>
      <c r="B342" s="2059"/>
      <c r="C342" s="2599" t="s">
        <v>312</v>
      </c>
      <c r="D342" s="2600" t="s">
        <v>584</v>
      </c>
      <c r="E342" s="503">
        <v>10000</v>
      </c>
      <c r="F342" s="503">
        <v>10000</v>
      </c>
      <c r="G342" s="702">
        <v>0</v>
      </c>
      <c r="H342" s="2245">
        <f t="shared" si="37"/>
        <v>0</v>
      </c>
      <c r="J342" s="444" t="s">
        <v>663</v>
      </c>
    </row>
    <row r="343" spans="1:10" s="444" customFormat="1" ht="15" customHeight="1" thickBot="1">
      <c r="A343" s="2312" t="s">
        <v>418</v>
      </c>
      <c r="B343" s="1974"/>
      <c r="C343" s="475"/>
      <c r="D343" s="476" t="s">
        <v>698</v>
      </c>
      <c r="E343" s="2601">
        <f>SUM(E344,E371)</f>
        <v>1784713</v>
      </c>
      <c r="F343" s="2601">
        <f>SUM(F344,F371)</f>
        <v>21941467</v>
      </c>
      <c r="G343" s="2602">
        <f>SUM(G344,G371)</f>
        <v>21164132.739999998</v>
      </c>
      <c r="H343" s="2318">
        <f t="shared" si="37"/>
        <v>0.96457236610478225</v>
      </c>
    </row>
    <row r="344" spans="1:10" s="444" customFormat="1" ht="15" customHeight="1" thickBot="1">
      <c r="A344" s="500"/>
      <c r="B344" s="2048" t="s">
        <v>417</v>
      </c>
      <c r="C344" s="2049"/>
      <c r="D344" s="2050" t="s">
        <v>107</v>
      </c>
      <c r="E344" s="2051">
        <f>SUM(E345,E360)</f>
        <v>1784713</v>
      </c>
      <c r="F344" s="2051">
        <f>SUM(F345,F360)</f>
        <v>21914467</v>
      </c>
      <c r="G344" s="2052">
        <f>SUM(G345,G360)</f>
        <v>21137342.739999998</v>
      </c>
      <c r="H344" s="2242">
        <f t="shared" si="37"/>
        <v>0.96453829974509531</v>
      </c>
    </row>
    <row r="345" spans="1:10" s="444" customFormat="1" ht="15" customHeight="1">
      <c r="A345" s="477"/>
      <c r="B345" s="4832"/>
      <c r="C345" s="4935" t="s">
        <v>567</v>
      </c>
      <c r="D345" s="4936"/>
      <c r="E345" s="2565">
        <f>SUM(E346,E357)</f>
        <v>620350</v>
      </c>
      <c r="F345" s="2565">
        <f>SUM(F346,F357)</f>
        <v>773659</v>
      </c>
      <c r="G345" s="2566">
        <f>SUM(G346,G357)</f>
        <v>375658.66000000003</v>
      </c>
      <c r="H345" s="2597">
        <f t="shared" si="37"/>
        <v>0.48556102882536106</v>
      </c>
    </row>
    <row r="346" spans="1:10" s="444" customFormat="1" ht="15" customHeight="1">
      <c r="A346" s="477"/>
      <c r="B346" s="4823"/>
      <c r="C346" s="4937" t="s">
        <v>568</v>
      </c>
      <c r="D346" s="4938"/>
      <c r="E346" s="2603">
        <f>SUM(E347)</f>
        <v>620350</v>
      </c>
      <c r="F346" s="2603">
        <f>SUM(F347)</f>
        <v>620350</v>
      </c>
      <c r="G346" s="2604">
        <f>SUM(G347)</f>
        <v>222349.66</v>
      </c>
      <c r="H346" s="2598">
        <f t="shared" si="37"/>
        <v>0.35842614653018456</v>
      </c>
    </row>
    <row r="347" spans="1:10" s="444" customFormat="1" ht="15" customHeight="1">
      <c r="A347" s="477"/>
      <c r="B347" s="4823"/>
      <c r="C347" s="4955" t="s">
        <v>577</v>
      </c>
      <c r="D347" s="4956"/>
      <c r="E347" s="2605">
        <f>SUM(E348:E355)</f>
        <v>620350</v>
      </c>
      <c r="F347" s="2605">
        <f>SUM(F348:F355)</f>
        <v>620350</v>
      </c>
      <c r="G347" s="2606">
        <f>SUM(G348:G355)</f>
        <v>222349.66</v>
      </c>
      <c r="H347" s="2598">
        <f t="shared" si="37"/>
        <v>0.35842614653018456</v>
      </c>
    </row>
    <row r="348" spans="1:10" s="444" customFormat="1" ht="15" customHeight="1">
      <c r="A348" s="477"/>
      <c r="B348" s="4823"/>
      <c r="C348" s="2607" t="s">
        <v>313</v>
      </c>
      <c r="D348" s="2608" t="s">
        <v>579</v>
      </c>
      <c r="E348" s="2603">
        <v>10000</v>
      </c>
      <c r="F348" s="2603">
        <v>10000</v>
      </c>
      <c r="G348" s="2604">
        <v>0</v>
      </c>
      <c r="H348" s="2598">
        <f t="shared" si="37"/>
        <v>0</v>
      </c>
      <c r="J348" s="444" t="s">
        <v>570</v>
      </c>
    </row>
    <row r="349" spans="1:10" s="444" customFormat="1" ht="15" customHeight="1">
      <c r="A349" s="477"/>
      <c r="B349" s="4823"/>
      <c r="C349" s="2607" t="s">
        <v>331</v>
      </c>
      <c r="D349" s="2608" t="s">
        <v>581</v>
      </c>
      <c r="E349" s="2603">
        <v>25000</v>
      </c>
      <c r="F349" s="2603">
        <v>25000</v>
      </c>
      <c r="G349" s="2604">
        <v>14065.38</v>
      </c>
      <c r="H349" s="2598">
        <f t="shared" si="37"/>
        <v>0.56261519999999998</v>
      </c>
      <c r="J349" s="444" t="s">
        <v>570</v>
      </c>
    </row>
    <row r="350" spans="1:10" s="444" customFormat="1" ht="15" customHeight="1">
      <c r="A350" s="477"/>
      <c r="B350" s="4823"/>
      <c r="C350" s="2607" t="s">
        <v>330</v>
      </c>
      <c r="D350" s="2608" t="s">
        <v>582</v>
      </c>
      <c r="E350" s="2603">
        <v>20000</v>
      </c>
      <c r="F350" s="2603">
        <v>20000</v>
      </c>
      <c r="G350" s="2604">
        <v>0</v>
      </c>
      <c r="H350" s="2598">
        <f t="shared" si="37"/>
        <v>0</v>
      </c>
      <c r="J350" s="444" t="s">
        <v>570</v>
      </c>
    </row>
    <row r="351" spans="1:10" s="444" customFormat="1" ht="15" customHeight="1">
      <c r="A351" s="477"/>
      <c r="B351" s="4823"/>
      <c r="C351" s="2607" t="s">
        <v>312</v>
      </c>
      <c r="D351" s="2608" t="s">
        <v>584</v>
      </c>
      <c r="E351" s="2603">
        <v>170000</v>
      </c>
      <c r="F351" s="2603">
        <v>170000</v>
      </c>
      <c r="G351" s="2604">
        <v>103565.8</v>
      </c>
      <c r="H351" s="2598">
        <f t="shared" si="37"/>
        <v>0.60921058823529417</v>
      </c>
      <c r="J351" s="444" t="s">
        <v>570</v>
      </c>
    </row>
    <row r="352" spans="1:10" s="444" customFormat="1" ht="15" customHeight="1">
      <c r="A352" s="477"/>
      <c r="B352" s="477"/>
      <c r="C352" s="2607" t="s">
        <v>699</v>
      </c>
      <c r="D352" s="2608" t="s">
        <v>700</v>
      </c>
      <c r="E352" s="2603">
        <v>251000</v>
      </c>
      <c r="F352" s="2603">
        <v>251000</v>
      </c>
      <c r="G352" s="2604">
        <v>39160.019999999997</v>
      </c>
      <c r="H352" s="2598">
        <f t="shared" si="37"/>
        <v>0.15601601593625497</v>
      </c>
      <c r="J352" s="444" t="s">
        <v>701</v>
      </c>
    </row>
    <row r="353" spans="1:10" s="444" customFormat="1" ht="15" customHeight="1">
      <c r="A353" s="477"/>
      <c r="B353" s="477"/>
      <c r="C353" s="2607" t="s">
        <v>323</v>
      </c>
      <c r="D353" s="2608" t="s">
        <v>594</v>
      </c>
      <c r="E353" s="2603">
        <v>100000</v>
      </c>
      <c r="F353" s="2603">
        <v>85000</v>
      </c>
      <c r="G353" s="2604">
        <v>58224</v>
      </c>
      <c r="H353" s="2598">
        <f t="shared" si="37"/>
        <v>0.68498823529411768</v>
      </c>
      <c r="J353" s="444" t="s">
        <v>570</v>
      </c>
    </row>
    <row r="354" spans="1:10" s="444" customFormat="1" ht="15" customHeight="1">
      <c r="A354" s="477"/>
      <c r="B354" s="477"/>
      <c r="C354" s="2607" t="s">
        <v>362</v>
      </c>
      <c r="D354" s="2608" t="s">
        <v>597</v>
      </c>
      <c r="E354" s="2603">
        <v>4350</v>
      </c>
      <c r="F354" s="2603">
        <v>19350</v>
      </c>
      <c r="G354" s="2604">
        <v>7334.46</v>
      </c>
      <c r="H354" s="2598">
        <f t="shared" si="37"/>
        <v>0.37904186046511629</v>
      </c>
      <c r="J354" s="444" t="s">
        <v>570</v>
      </c>
    </row>
    <row r="355" spans="1:10" s="444" customFormat="1" ht="15" customHeight="1">
      <c r="A355" s="477"/>
      <c r="B355" s="477"/>
      <c r="C355" s="2607" t="s">
        <v>647</v>
      </c>
      <c r="D355" s="2608" t="s">
        <v>648</v>
      </c>
      <c r="E355" s="2603">
        <v>40000</v>
      </c>
      <c r="F355" s="2603">
        <v>40000</v>
      </c>
      <c r="G355" s="2604">
        <v>0</v>
      </c>
      <c r="H355" s="2598">
        <f t="shared" si="37"/>
        <v>0</v>
      </c>
      <c r="J355" s="444" t="s">
        <v>570</v>
      </c>
    </row>
    <row r="356" spans="1:10" s="444" customFormat="1" ht="15" customHeight="1">
      <c r="A356" s="477"/>
      <c r="B356" s="477"/>
      <c r="C356" s="477"/>
      <c r="D356" s="544"/>
      <c r="E356" s="2603"/>
      <c r="F356" s="2609"/>
      <c r="G356" s="2610"/>
      <c r="H356" s="2611"/>
    </row>
    <row r="357" spans="1:10" s="444" customFormat="1" ht="21.75" customHeight="1">
      <c r="A357" s="477"/>
      <c r="B357" s="477"/>
      <c r="C357" s="4957" t="s">
        <v>640</v>
      </c>
      <c r="D357" s="4958"/>
      <c r="E357" s="2612">
        <f>SUM(E358)</f>
        <v>0</v>
      </c>
      <c r="F357" s="2612">
        <f>SUM(F358)</f>
        <v>153309</v>
      </c>
      <c r="G357" s="2613">
        <f>SUM(G358)</f>
        <v>153309</v>
      </c>
      <c r="H357" s="2598">
        <f>G357/F357</f>
        <v>1</v>
      </c>
    </row>
    <row r="358" spans="1:10" s="444" customFormat="1" ht="29.25" customHeight="1">
      <c r="A358" s="477"/>
      <c r="B358" s="477"/>
      <c r="C358" s="2614" t="s">
        <v>78</v>
      </c>
      <c r="D358" s="2615" t="s">
        <v>702</v>
      </c>
      <c r="E358" s="2603">
        <v>0</v>
      </c>
      <c r="F358" s="2603">
        <v>153309</v>
      </c>
      <c r="G358" s="2604">
        <v>153309</v>
      </c>
      <c r="H358" s="2598">
        <f>G358/F358</f>
        <v>1</v>
      </c>
    </row>
    <row r="359" spans="1:10" s="444" customFormat="1" ht="15" customHeight="1" thickBot="1">
      <c r="A359" s="501"/>
      <c r="B359" s="501"/>
      <c r="C359" s="2616"/>
      <c r="D359" s="2617"/>
      <c r="E359" s="503"/>
      <c r="F359" s="2618"/>
      <c r="G359" s="2619"/>
      <c r="H359" s="2620"/>
    </row>
    <row r="360" spans="1:10" s="444" customFormat="1" ht="20.25" customHeight="1">
      <c r="A360" s="500"/>
      <c r="B360" s="500"/>
      <c r="C360" s="4959" t="s">
        <v>603</v>
      </c>
      <c r="D360" s="4960"/>
      <c r="E360" s="2621">
        <f>SUM(E361)</f>
        <v>1164363</v>
      </c>
      <c r="F360" s="2621">
        <f>SUM(F361)</f>
        <v>21140808</v>
      </c>
      <c r="G360" s="2622">
        <f>SUM(G361)</f>
        <v>20761684.079999998</v>
      </c>
      <c r="H360" s="2623">
        <f t="shared" ref="H360:H386" si="38">G360/F360</f>
        <v>0.98206672516963389</v>
      </c>
    </row>
    <row r="361" spans="1:10" s="444" customFormat="1" ht="21" customHeight="1">
      <c r="A361" s="477"/>
      <c r="B361" s="477"/>
      <c r="C361" s="4961" t="s">
        <v>604</v>
      </c>
      <c r="D361" s="4962"/>
      <c r="E361" s="2624">
        <f>SUM(E362:E367)</f>
        <v>1164363</v>
      </c>
      <c r="F361" s="2624">
        <f>SUM(F362:F367)</f>
        <v>21140808</v>
      </c>
      <c r="G361" s="2625">
        <f>SUM(G362:G367)</f>
        <v>20761684.079999998</v>
      </c>
      <c r="H361" s="2598">
        <f t="shared" si="38"/>
        <v>0.98206672516963389</v>
      </c>
    </row>
    <row r="362" spans="1:10" s="444" customFormat="1">
      <c r="A362" s="479"/>
      <c r="B362" s="479"/>
      <c r="C362" s="2638" t="s">
        <v>339</v>
      </c>
      <c r="D362" s="2639" t="s">
        <v>671</v>
      </c>
      <c r="E362" s="2626">
        <v>330000</v>
      </c>
      <c r="F362" s="2626">
        <v>1000</v>
      </c>
      <c r="G362" s="2627">
        <v>265.5</v>
      </c>
      <c r="H362" s="2598">
        <f t="shared" si="38"/>
        <v>0.26550000000000001</v>
      </c>
      <c r="J362" s="444" t="s">
        <v>645</v>
      </c>
    </row>
    <row r="363" spans="1:10" s="444" customFormat="1" ht="15" customHeight="1">
      <c r="A363" s="477"/>
      <c r="B363" s="477"/>
      <c r="C363" s="2628" t="s">
        <v>354</v>
      </c>
      <c r="D363" s="2640" t="s">
        <v>605</v>
      </c>
      <c r="E363" s="2629">
        <v>0</v>
      </c>
      <c r="F363" s="2629">
        <v>7296727</v>
      </c>
      <c r="G363" s="2630">
        <v>7242553.9800000004</v>
      </c>
      <c r="H363" s="2598">
        <f t="shared" si="38"/>
        <v>0.99257570962981079</v>
      </c>
    </row>
    <row r="364" spans="1:10" s="444" customFormat="1" ht="15" customHeight="1">
      <c r="A364" s="477"/>
      <c r="B364" s="477"/>
      <c r="C364" s="519" t="s">
        <v>668</v>
      </c>
      <c r="D364" s="545" t="s">
        <v>605</v>
      </c>
      <c r="E364" s="2629">
        <v>0</v>
      </c>
      <c r="F364" s="2629">
        <v>12916167</v>
      </c>
      <c r="G364" s="2630">
        <v>12594968.6</v>
      </c>
      <c r="H364" s="2598">
        <f t="shared" si="38"/>
        <v>0.97513206510878958</v>
      </c>
    </row>
    <row r="365" spans="1:10" s="444" customFormat="1" ht="53.25" customHeight="1">
      <c r="A365" s="479"/>
      <c r="B365" s="477"/>
      <c r="C365" s="2641" t="s">
        <v>309</v>
      </c>
      <c r="D365" s="2642" t="s">
        <v>676</v>
      </c>
      <c r="E365" s="2643">
        <v>74363</v>
      </c>
      <c r="F365" s="2643">
        <v>1333</v>
      </c>
      <c r="G365" s="2644">
        <v>0</v>
      </c>
      <c r="H365" s="2598">
        <f t="shared" si="38"/>
        <v>0</v>
      </c>
      <c r="J365" s="444" t="s">
        <v>654</v>
      </c>
    </row>
    <row r="366" spans="1:10" s="444" customFormat="1" ht="42" customHeight="1">
      <c r="A366" s="479"/>
      <c r="B366" s="479"/>
      <c r="C366" s="2636" t="s">
        <v>310</v>
      </c>
      <c r="D366" s="2637" t="s">
        <v>693</v>
      </c>
      <c r="E366" s="2626">
        <v>0</v>
      </c>
      <c r="F366" s="2626">
        <v>925581</v>
      </c>
      <c r="G366" s="2627">
        <v>923896</v>
      </c>
      <c r="H366" s="2598">
        <f t="shared" si="38"/>
        <v>0.9981795218354742</v>
      </c>
    </row>
    <row r="367" spans="1:10" s="444" customFormat="1" ht="28.5" customHeight="1">
      <c r="A367" s="477"/>
      <c r="B367" s="479"/>
      <c r="C367" s="2636" t="s">
        <v>703</v>
      </c>
      <c r="D367" s="2637" t="s">
        <v>704</v>
      </c>
      <c r="E367" s="2626">
        <v>760000</v>
      </c>
      <c r="F367" s="2626">
        <v>0</v>
      </c>
      <c r="G367" s="2627">
        <v>0</v>
      </c>
      <c r="H367" s="2598"/>
      <c r="J367" s="444" t="s">
        <v>701</v>
      </c>
    </row>
    <row r="368" spans="1:10" s="444" customFormat="1">
      <c r="A368" s="477"/>
      <c r="B368" s="4823"/>
      <c r="C368" s="5329"/>
      <c r="D368" s="5330"/>
      <c r="E368" s="2626"/>
      <c r="F368" s="2631"/>
      <c r="G368" s="2632"/>
      <c r="H368" s="2611"/>
    </row>
    <row r="369" spans="1:10" s="444" customFormat="1" ht="15" customHeight="1">
      <c r="A369" s="477"/>
      <c r="B369" s="4823"/>
      <c r="C369" s="5331" t="s">
        <v>669</v>
      </c>
      <c r="D369" s="5332"/>
      <c r="E369" s="2645">
        <f>E370</f>
        <v>0</v>
      </c>
      <c r="F369" s="2645">
        <f>F370</f>
        <v>12916167</v>
      </c>
      <c r="G369" s="2646">
        <f>G370</f>
        <v>12594968.6</v>
      </c>
      <c r="H369" s="2598">
        <f t="shared" ref="H369:H370" si="39">G369/F369</f>
        <v>0.97513206510878958</v>
      </c>
    </row>
    <row r="370" spans="1:10" ht="15" customHeight="1" thickBot="1">
      <c r="A370" s="517"/>
      <c r="B370" s="4840"/>
      <c r="C370" s="2647" t="s">
        <v>668</v>
      </c>
      <c r="D370" s="2648" t="s">
        <v>605</v>
      </c>
      <c r="E370" s="2629">
        <v>0</v>
      </c>
      <c r="F370" s="2629">
        <f>12155841+760326</f>
        <v>12916167</v>
      </c>
      <c r="G370" s="2630">
        <f>12594968.6</f>
        <v>12594968.6</v>
      </c>
      <c r="H370" s="701">
        <f t="shared" si="39"/>
        <v>0.97513206510878958</v>
      </c>
    </row>
    <row r="371" spans="1:10" s="444" customFormat="1" ht="15" customHeight="1" thickBot="1">
      <c r="A371" s="477"/>
      <c r="B371" s="2633" t="s">
        <v>415</v>
      </c>
      <c r="C371" s="2634"/>
      <c r="D371" s="2635" t="s">
        <v>44</v>
      </c>
      <c r="E371" s="2448">
        <f>SUM(E372)</f>
        <v>0</v>
      </c>
      <c r="F371" s="2448">
        <f t="shared" ref="F371:G371" si="40">SUM(F372)</f>
        <v>27000</v>
      </c>
      <c r="G371" s="2449">
        <f t="shared" si="40"/>
        <v>26790</v>
      </c>
      <c r="H371" s="2242">
        <f t="shared" si="38"/>
        <v>0.99222222222222223</v>
      </c>
    </row>
    <row r="372" spans="1:10" s="444" customFormat="1" ht="15" customHeight="1">
      <c r="A372" s="477"/>
      <c r="B372" s="546"/>
      <c r="C372" s="4963" t="s">
        <v>567</v>
      </c>
      <c r="D372" s="4964"/>
      <c r="E372" s="529">
        <f t="shared" ref="E372:G373" si="41">SUM(E373)</f>
        <v>0</v>
      </c>
      <c r="F372" s="529">
        <f t="shared" si="41"/>
        <v>27000</v>
      </c>
      <c r="G372" s="700">
        <f t="shared" si="41"/>
        <v>26790</v>
      </c>
      <c r="H372" s="2597">
        <f t="shared" si="38"/>
        <v>0.99222222222222223</v>
      </c>
    </row>
    <row r="373" spans="1:10" s="444" customFormat="1" ht="15" customHeight="1">
      <c r="A373" s="477"/>
      <c r="B373" s="546"/>
      <c r="C373" s="4949" t="s">
        <v>640</v>
      </c>
      <c r="D373" s="4950"/>
      <c r="E373" s="2624">
        <f t="shared" si="41"/>
        <v>0</v>
      </c>
      <c r="F373" s="2624">
        <f t="shared" si="41"/>
        <v>27000</v>
      </c>
      <c r="G373" s="2625">
        <f t="shared" si="41"/>
        <v>26790</v>
      </c>
      <c r="H373" s="2598">
        <f t="shared" si="38"/>
        <v>0.99222222222222223</v>
      </c>
    </row>
    <row r="374" spans="1:10" s="444" customFormat="1" ht="32.25" customHeight="1" thickBot="1">
      <c r="A374" s="477"/>
      <c r="B374" s="546"/>
      <c r="C374" s="2650" t="s">
        <v>78</v>
      </c>
      <c r="D374" s="2649" t="s">
        <v>702</v>
      </c>
      <c r="E374" s="2626">
        <v>0</v>
      </c>
      <c r="F374" s="2626">
        <v>27000</v>
      </c>
      <c r="G374" s="2627">
        <v>26790</v>
      </c>
      <c r="H374" s="701">
        <f t="shared" si="38"/>
        <v>0.99222222222222223</v>
      </c>
    </row>
    <row r="375" spans="1:10" s="444" customFormat="1" ht="13.5" thickBot="1">
      <c r="A375" s="2312" t="s">
        <v>414</v>
      </c>
      <c r="B375" s="2313"/>
      <c r="C375" s="2314"/>
      <c r="D375" s="2315" t="s">
        <v>705</v>
      </c>
      <c r="E375" s="2316">
        <f>SUM(E376,E380)</f>
        <v>470250</v>
      </c>
      <c r="F375" s="2316">
        <f>SUM(F376,F380)</f>
        <v>482551</v>
      </c>
      <c r="G375" s="2317">
        <f>SUM(G376,G380)</f>
        <v>482394.08</v>
      </c>
      <c r="H375" s="2341">
        <f t="shared" si="38"/>
        <v>0.9996748115743207</v>
      </c>
    </row>
    <row r="376" spans="1:10" s="444" customFormat="1" ht="16.5" customHeight="1" thickBot="1">
      <c r="A376" s="477"/>
      <c r="B376" s="2651" t="s">
        <v>413</v>
      </c>
      <c r="C376" s="2652"/>
      <c r="D376" s="2653" t="s">
        <v>412</v>
      </c>
      <c r="E376" s="2448">
        <f t="shared" ref="E376:G378" si="42">SUM(E377)</f>
        <v>71500</v>
      </c>
      <c r="F376" s="2448">
        <f t="shared" si="42"/>
        <v>71500</v>
      </c>
      <c r="G376" s="2449">
        <f t="shared" si="42"/>
        <v>71500</v>
      </c>
      <c r="H376" s="2242">
        <f t="shared" si="38"/>
        <v>1</v>
      </c>
    </row>
    <row r="377" spans="1:10" s="444" customFormat="1" ht="15" customHeight="1">
      <c r="A377" s="477"/>
      <c r="B377" s="2043"/>
      <c r="C377" s="4947" t="s">
        <v>567</v>
      </c>
      <c r="D377" s="4948"/>
      <c r="E377" s="2542">
        <f t="shared" si="42"/>
        <v>71500</v>
      </c>
      <c r="F377" s="2542">
        <f t="shared" si="42"/>
        <v>71500</v>
      </c>
      <c r="G377" s="2543">
        <f t="shared" si="42"/>
        <v>71500</v>
      </c>
      <c r="H377" s="2597">
        <f t="shared" si="38"/>
        <v>1</v>
      </c>
    </row>
    <row r="378" spans="1:10" s="444" customFormat="1" ht="15" customHeight="1">
      <c r="A378" s="477"/>
      <c r="B378" s="479"/>
      <c r="C378" s="4949" t="s">
        <v>640</v>
      </c>
      <c r="D378" s="4950"/>
      <c r="E378" s="2603">
        <f t="shared" si="42"/>
        <v>71500</v>
      </c>
      <c r="F378" s="2603">
        <f t="shared" si="42"/>
        <v>71500</v>
      </c>
      <c r="G378" s="2604">
        <f t="shared" si="42"/>
        <v>71500</v>
      </c>
      <c r="H378" s="2598">
        <f t="shared" si="38"/>
        <v>1</v>
      </c>
      <c r="J378" s="444" t="s">
        <v>706</v>
      </c>
    </row>
    <row r="379" spans="1:10" s="444" customFormat="1" ht="32.25" customHeight="1" thickBot="1">
      <c r="A379" s="477"/>
      <c r="B379" s="502"/>
      <c r="C379" s="547" t="s">
        <v>78</v>
      </c>
      <c r="D379" s="2654" t="s">
        <v>702</v>
      </c>
      <c r="E379" s="503">
        <v>71500</v>
      </c>
      <c r="F379" s="503">
        <v>71500</v>
      </c>
      <c r="G379" s="702">
        <v>71500</v>
      </c>
      <c r="H379" s="701">
        <f t="shared" si="38"/>
        <v>1</v>
      </c>
    </row>
    <row r="380" spans="1:10" s="444" customFormat="1" ht="15" customHeight="1" thickBot="1">
      <c r="A380" s="477"/>
      <c r="B380" s="490" t="s">
        <v>411</v>
      </c>
      <c r="C380" s="491"/>
      <c r="D380" s="492" t="s">
        <v>119</v>
      </c>
      <c r="E380" s="493">
        <f>SUM(E381)</f>
        <v>398750</v>
      </c>
      <c r="F380" s="493">
        <f t="shared" ref="F380:G381" si="43">SUM(F381)</f>
        <v>411051</v>
      </c>
      <c r="G380" s="548">
        <f t="shared" si="43"/>
        <v>410894.08000000002</v>
      </c>
      <c r="H380" s="2242">
        <f t="shared" si="38"/>
        <v>0.99961824688420664</v>
      </c>
    </row>
    <row r="381" spans="1:10" s="444" customFormat="1" ht="15" customHeight="1">
      <c r="A381" s="477"/>
      <c r="B381" s="479"/>
      <c r="C381" s="4951" t="s">
        <v>567</v>
      </c>
      <c r="D381" s="4951"/>
      <c r="E381" s="2655">
        <f>SUM(E382)</f>
        <v>398750</v>
      </c>
      <c r="F381" s="2655">
        <f t="shared" si="43"/>
        <v>411051</v>
      </c>
      <c r="G381" s="2656">
        <f t="shared" si="43"/>
        <v>410894.08000000002</v>
      </c>
      <c r="H381" s="2657">
        <f t="shared" si="38"/>
        <v>0.99961824688420664</v>
      </c>
      <c r="J381" s="444" t="s">
        <v>570</v>
      </c>
    </row>
    <row r="382" spans="1:10" s="444" customFormat="1" ht="15" customHeight="1">
      <c r="A382" s="477"/>
      <c r="B382" s="479"/>
      <c r="C382" s="4952" t="s">
        <v>568</v>
      </c>
      <c r="D382" s="4952"/>
      <c r="E382" s="2603">
        <f>SUM(E383,E388)</f>
        <v>398750</v>
      </c>
      <c r="F382" s="2603">
        <f>SUM(F383,F388)</f>
        <v>411051</v>
      </c>
      <c r="G382" s="2604">
        <f>SUM(G383,G388)</f>
        <v>410894.08000000002</v>
      </c>
      <c r="H382" s="2658">
        <f t="shared" si="38"/>
        <v>0.99961824688420664</v>
      </c>
    </row>
    <row r="383" spans="1:10" s="444" customFormat="1" ht="15" customHeight="1">
      <c r="A383" s="477"/>
      <c r="B383" s="479"/>
      <c r="C383" s="4953" t="s">
        <v>569</v>
      </c>
      <c r="D383" s="4953"/>
      <c r="E383" s="2605">
        <f>SUM(E384:E386)</f>
        <v>287000</v>
      </c>
      <c r="F383" s="2605">
        <f>SUM(F384:F386)</f>
        <v>299301</v>
      </c>
      <c r="G383" s="2606">
        <f>SUM(G384:G386)</f>
        <v>299301</v>
      </c>
      <c r="H383" s="2658">
        <f t="shared" si="38"/>
        <v>1</v>
      </c>
    </row>
    <row r="384" spans="1:10" s="444" customFormat="1" ht="15" customHeight="1" thickBot="1">
      <c r="A384" s="501"/>
      <c r="B384" s="502"/>
      <c r="C384" s="2659" t="s">
        <v>337</v>
      </c>
      <c r="D384" s="2660" t="s">
        <v>571</v>
      </c>
      <c r="E384" s="503">
        <v>238410</v>
      </c>
      <c r="F384" s="503">
        <v>248630</v>
      </c>
      <c r="G384" s="702">
        <v>248630</v>
      </c>
      <c r="H384" s="2245">
        <f t="shared" si="38"/>
        <v>1</v>
      </c>
    </row>
    <row r="385" spans="1:10" s="444" customFormat="1" ht="15" customHeight="1">
      <c r="A385" s="500"/>
      <c r="B385" s="2043"/>
      <c r="C385" s="2665" t="s">
        <v>315</v>
      </c>
      <c r="D385" s="2666" t="s">
        <v>573</v>
      </c>
      <c r="E385" s="2667">
        <v>42740</v>
      </c>
      <c r="F385" s="2667">
        <v>44571</v>
      </c>
      <c r="G385" s="2668">
        <v>44571</v>
      </c>
      <c r="H385" s="2669">
        <f t="shared" si="38"/>
        <v>1</v>
      </c>
    </row>
    <row r="386" spans="1:10" s="444" customFormat="1" ht="15" customHeight="1">
      <c r="A386" s="477"/>
      <c r="B386" s="479"/>
      <c r="C386" s="2661" t="s">
        <v>314</v>
      </c>
      <c r="D386" s="2662" t="s">
        <v>574</v>
      </c>
      <c r="E386" s="2603">
        <v>5850</v>
      </c>
      <c r="F386" s="2603">
        <v>6100</v>
      </c>
      <c r="G386" s="2604">
        <v>6100</v>
      </c>
      <c r="H386" s="2664">
        <f t="shared" si="38"/>
        <v>1</v>
      </c>
      <c r="J386" s="549"/>
    </row>
    <row r="387" spans="1:10" s="444" customFormat="1" ht="15" customHeight="1">
      <c r="A387" s="479"/>
      <c r="B387" s="479"/>
      <c r="C387" s="2670"/>
      <c r="D387" s="2663"/>
      <c r="E387" s="2603"/>
      <c r="F387" s="2609"/>
      <c r="G387" s="2610"/>
      <c r="H387" s="2671"/>
    </row>
    <row r="388" spans="1:10" s="444" customFormat="1" ht="15" customHeight="1">
      <c r="A388" s="477"/>
      <c r="B388" s="479"/>
      <c r="C388" s="4954" t="s">
        <v>577</v>
      </c>
      <c r="D388" s="4954"/>
      <c r="E388" s="2672">
        <f>SUM(E389:E391)</f>
        <v>111750</v>
      </c>
      <c r="F388" s="2672">
        <f>SUM(F389:F391)</f>
        <v>111750</v>
      </c>
      <c r="G388" s="2673">
        <f>SUM(G389:G391)</f>
        <v>111593.08</v>
      </c>
      <c r="H388" s="2674">
        <f t="shared" ref="H388:H406" si="44">G388/F388</f>
        <v>0.99859579418344524</v>
      </c>
    </row>
    <row r="389" spans="1:10" s="444" customFormat="1" ht="15" customHeight="1">
      <c r="A389" s="477"/>
      <c r="B389" s="479"/>
      <c r="C389" s="2661" t="s">
        <v>313</v>
      </c>
      <c r="D389" s="2662" t="s">
        <v>579</v>
      </c>
      <c r="E389" s="2603">
        <v>5750</v>
      </c>
      <c r="F389" s="2603">
        <v>8300</v>
      </c>
      <c r="G389" s="2604">
        <v>8297.58</v>
      </c>
      <c r="H389" s="2674">
        <f t="shared" si="44"/>
        <v>0.99970843373493978</v>
      </c>
    </row>
    <row r="390" spans="1:10" s="444" customFormat="1" ht="15" customHeight="1">
      <c r="A390" s="477"/>
      <c r="B390" s="479"/>
      <c r="C390" s="2661" t="s">
        <v>312</v>
      </c>
      <c r="D390" s="2662" t="s">
        <v>584</v>
      </c>
      <c r="E390" s="2603">
        <v>96000</v>
      </c>
      <c r="F390" s="2603">
        <v>93450</v>
      </c>
      <c r="G390" s="2604">
        <v>93295.5</v>
      </c>
      <c r="H390" s="2674">
        <f t="shared" si="44"/>
        <v>0.99834670947030502</v>
      </c>
    </row>
    <row r="391" spans="1:10" s="444" customFormat="1" ht="15" customHeight="1" thickBot="1">
      <c r="A391" s="501"/>
      <c r="B391" s="502"/>
      <c r="C391" s="2659" t="s">
        <v>322</v>
      </c>
      <c r="D391" s="2660" t="s">
        <v>600</v>
      </c>
      <c r="E391" s="503">
        <v>10000</v>
      </c>
      <c r="F391" s="503">
        <v>10000</v>
      </c>
      <c r="G391" s="702">
        <v>10000</v>
      </c>
      <c r="H391" s="2245">
        <f t="shared" si="44"/>
        <v>1</v>
      </c>
    </row>
    <row r="392" spans="1:10" s="444" customFormat="1" ht="15" customHeight="1" thickBot="1">
      <c r="A392" s="2312" t="s">
        <v>410</v>
      </c>
      <c r="B392" s="2313"/>
      <c r="C392" s="2314"/>
      <c r="D392" s="2315" t="s">
        <v>707</v>
      </c>
      <c r="E392" s="2316">
        <f>SUM(E393)</f>
        <v>23472601</v>
      </c>
      <c r="F392" s="2316">
        <f>SUM(F393)</f>
        <v>30284926</v>
      </c>
      <c r="G392" s="2317">
        <f>SUM(G393)</f>
        <v>28656538.690000005</v>
      </c>
      <c r="H392" s="2318">
        <f t="shared" si="44"/>
        <v>0.94623109496783997</v>
      </c>
    </row>
    <row r="393" spans="1:10" s="444" customFormat="1" ht="15" customHeight="1" thickBot="1">
      <c r="A393" s="500"/>
      <c r="B393" s="2048" t="s">
        <v>409</v>
      </c>
      <c r="C393" s="2049"/>
      <c r="D393" s="2050" t="s">
        <v>44</v>
      </c>
      <c r="E393" s="2051">
        <f>SUM(E394,E412)</f>
        <v>23472601</v>
      </c>
      <c r="F393" s="2051">
        <f>SUM(F394,F412)</f>
        <v>30284926</v>
      </c>
      <c r="G393" s="2052">
        <f>SUM(G394,G412)</f>
        <v>28656538.690000005</v>
      </c>
      <c r="H393" s="2242">
        <f t="shared" si="44"/>
        <v>0.94623109496783997</v>
      </c>
    </row>
    <row r="394" spans="1:10" s="444" customFormat="1" ht="15" customHeight="1">
      <c r="A394" s="477"/>
      <c r="B394" s="2241"/>
      <c r="C394" s="4977" t="s">
        <v>567</v>
      </c>
      <c r="D394" s="4977"/>
      <c r="E394" s="2683">
        <f>SUM(E395,E408)</f>
        <v>11246171</v>
      </c>
      <c r="F394" s="2683">
        <f>SUM(F395,F408)</f>
        <v>7185500</v>
      </c>
      <c r="G394" s="2684">
        <f>SUM(G395,G408)</f>
        <v>6553450.2599999998</v>
      </c>
      <c r="H394" s="2685">
        <f t="shared" si="44"/>
        <v>0.91203816853385289</v>
      </c>
    </row>
    <row r="395" spans="1:10" s="444" customFormat="1" ht="15" customHeight="1">
      <c r="A395" s="477"/>
      <c r="B395" s="494"/>
      <c r="C395" s="4952" t="s">
        <v>568</v>
      </c>
      <c r="D395" s="4952"/>
      <c r="E395" s="2603">
        <f>SUM(E396)</f>
        <v>11246171</v>
      </c>
      <c r="F395" s="2603">
        <f>SUM(F396)</f>
        <v>6916171</v>
      </c>
      <c r="G395" s="2604">
        <f>SUM(G396)</f>
        <v>6284122.2599999998</v>
      </c>
      <c r="H395" s="2686">
        <f t="shared" si="44"/>
        <v>0.90861291023602508</v>
      </c>
    </row>
    <row r="396" spans="1:10" s="444" customFormat="1" ht="15" customHeight="1">
      <c r="A396" s="477"/>
      <c r="B396" s="494"/>
      <c r="C396" s="4967" t="s">
        <v>577</v>
      </c>
      <c r="D396" s="4967"/>
      <c r="E396" s="2605">
        <f>SUM(E397:E406)</f>
        <v>11246171</v>
      </c>
      <c r="F396" s="2605">
        <f>SUM(F397:F406)</f>
        <v>6916171</v>
      </c>
      <c r="G396" s="2606">
        <f>SUM(G397:G406)</f>
        <v>6284122.2599999998</v>
      </c>
      <c r="H396" s="2686">
        <f t="shared" si="44"/>
        <v>0.90861291023602508</v>
      </c>
    </row>
    <row r="397" spans="1:10" s="444" customFormat="1" ht="15" customHeight="1">
      <c r="A397" s="477"/>
      <c r="B397" s="494"/>
      <c r="C397" s="2661" t="s">
        <v>313</v>
      </c>
      <c r="D397" s="2662" t="s">
        <v>579</v>
      </c>
      <c r="E397" s="2603">
        <v>25000</v>
      </c>
      <c r="F397" s="2603">
        <v>52280</v>
      </c>
      <c r="G397" s="2604">
        <v>37902.410000000003</v>
      </c>
      <c r="H397" s="2686">
        <f t="shared" si="44"/>
        <v>0.72498871461361902</v>
      </c>
    </row>
    <row r="398" spans="1:10" s="444" customFormat="1" ht="15" customHeight="1">
      <c r="A398" s="477"/>
      <c r="B398" s="494"/>
      <c r="C398" s="2661" t="s">
        <v>331</v>
      </c>
      <c r="D398" s="2662" t="s">
        <v>581</v>
      </c>
      <c r="E398" s="2603">
        <v>100000</v>
      </c>
      <c r="F398" s="2603">
        <v>40000</v>
      </c>
      <c r="G398" s="2604">
        <v>23799.8</v>
      </c>
      <c r="H398" s="2686">
        <f t="shared" si="44"/>
        <v>0.59499499999999994</v>
      </c>
    </row>
    <row r="399" spans="1:10" s="444" customFormat="1" ht="15" customHeight="1">
      <c r="A399" s="477"/>
      <c r="B399" s="494"/>
      <c r="C399" s="2675" t="s">
        <v>330</v>
      </c>
      <c r="D399" s="2676" t="s">
        <v>582</v>
      </c>
      <c r="E399" s="2643">
        <v>135000</v>
      </c>
      <c r="F399" s="2643">
        <v>135000</v>
      </c>
      <c r="G399" s="2644">
        <v>119153.08</v>
      </c>
      <c r="H399" s="2686">
        <f t="shared" si="44"/>
        <v>0.8826154074074074</v>
      </c>
    </row>
    <row r="400" spans="1:10" s="444" customFormat="1" ht="15" customHeight="1">
      <c r="A400" s="479"/>
      <c r="B400" s="494"/>
      <c r="C400" s="2677" t="s">
        <v>312</v>
      </c>
      <c r="D400" s="2678" t="s">
        <v>584</v>
      </c>
      <c r="E400" s="2603">
        <v>5670000</v>
      </c>
      <c r="F400" s="2603">
        <v>1682720</v>
      </c>
      <c r="G400" s="2604">
        <v>1422776.92</v>
      </c>
      <c r="H400" s="2686">
        <f t="shared" si="44"/>
        <v>0.84552208329371492</v>
      </c>
    </row>
    <row r="401" spans="1:8" s="444" customFormat="1" ht="15" customHeight="1">
      <c r="A401" s="477"/>
      <c r="B401" s="494"/>
      <c r="C401" s="2687" t="s">
        <v>328</v>
      </c>
      <c r="D401" s="2688" t="s">
        <v>585</v>
      </c>
      <c r="E401" s="2689">
        <v>10000</v>
      </c>
      <c r="F401" s="2689">
        <v>10000</v>
      </c>
      <c r="G401" s="2690">
        <v>9649.7900000000009</v>
      </c>
      <c r="H401" s="2691">
        <f t="shared" si="44"/>
        <v>0.96497900000000014</v>
      </c>
    </row>
    <row r="402" spans="1:8" s="444" customFormat="1" ht="15" customHeight="1">
      <c r="A402" s="477"/>
      <c r="B402" s="494"/>
      <c r="C402" s="2661" t="s">
        <v>327</v>
      </c>
      <c r="D402" s="2662" t="s">
        <v>586</v>
      </c>
      <c r="E402" s="2603">
        <v>775171</v>
      </c>
      <c r="F402" s="2603">
        <v>231171</v>
      </c>
      <c r="G402" s="2604">
        <v>19081.28</v>
      </c>
      <c r="H402" s="2691">
        <f t="shared" si="44"/>
        <v>8.2541841320926929E-2</v>
      </c>
    </row>
    <row r="403" spans="1:8" s="444" customFormat="1" ht="25.5">
      <c r="A403" s="477"/>
      <c r="B403" s="494"/>
      <c r="C403" s="2692" t="s">
        <v>587</v>
      </c>
      <c r="D403" s="2662" t="s">
        <v>588</v>
      </c>
      <c r="E403" s="2603">
        <v>20000</v>
      </c>
      <c r="F403" s="2603">
        <v>20000</v>
      </c>
      <c r="G403" s="2604">
        <v>10702.42</v>
      </c>
      <c r="H403" s="2691">
        <f t="shared" si="44"/>
        <v>0.53512099999999996</v>
      </c>
    </row>
    <row r="404" spans="1:8" s="444" customFormat="1" ht="15" customHeight="1">
      <c r="A404" s="477"/>
      <c r="B404" s="494"/>
      <c r="C404" s="2692" t="s">
        <v>325</v>
      </c>
      <c r="D404" s="2662" t="s">
        <v>592</v>
      </c>
      <c r="E404" s="2603">
        <v>3570000</v>
      </c>
      <c r="F404" s="2603">
        <v>3587000</v>
      </c>
      <c r="G404" s="2604">
        <v>3574632.29</v>
      </c>
      <c r="H404" s="2691">
        <f t="shared" si="44"/>
        <v>0.9965520741566769</v>
      </c>
    </row>
    <row r="405" spans="1:8" s="444" customFormat="1" ht="15" customHeight="1">
      <c r="A405" s="477"/>
      <c r="B405" s="494"/>
      <c r="C405" s="2692" t="s">
        <v>598</v>
      </c>
      <c r="D405" s="2662" t="s">
        <v>599</v>
      </c>
      <c r="E405" s="2603">
        <v>821000</v>
      </c>
      <c r="F405" s="2603">
        <v>1138000</v>
      </c>
      <c r="G405" s="2604">
        <v>1064634.27</v>
      </c>
      <c r="H405" s="2691">
        <f t="shared" si="44"/>
        <v>0.93553099297012299</v>
      </c>
    </row>
    <row r="406" spans="1:8" s="444" customFormat="1" ht="15" customHeight="1">
      <c r="A406" s="477"/>
      <c r="B406" s="494"/>
      <c r="C406" s="2661" t="s">
        <v>322</v>
      </c>
      <c r="D406" s="2662" t="s">
        <v>600</v>
      </c>
      <c r="E406" s="2603">
        <v>120000</v>
      </c>
      <c r="F406" s="2603">
        <v>20000</v>
      </c>
      <c r="G406" s="2604">
        <v>1790</v>
      </c>
      <c r="H406" s="2691">
        <f t="shared" si="44"/>
        <v>8.9499999999999996E-2</v>
      </c>
    </row>
    <row r="407" spans="1:8" s="444" customFormat="1" ht="15" customHeight="1">
      <c r="A407" s="479"/>
      <c r="B407" s="494"/>
      <c r="C407" s="2679"/>
      <c r="D407" s="2680"/>
      <c r="E407" s="2603"/>
      <c r="F407" s="2609"/>
      <c r="G407" s="2610"/>
      <c r="H407" s="2693"/>
    </row>
    <row r="408" spans="1:8" s="444" customFormat="1" ht="15" customHeight="1">
      <c r="A408" s="477"/>
      <c r="B408" s="494"/>
      <c r="C408" s="4978" t="s">
        <v>608</v>
      </c>
      <c r="D408" s="4979"/>
      <c r="E408" s="2694">
        <f>SUM(E409:E410)</f>
        <v>0</v>
      </c>
      <c r="F408" s="2694">
        <f>SUM(F409:F410)</f>
        <v>269329</v>
      </c>
      <c r="G408" s="2695">
        <f>SUM(G409:G410)</f>
        <v>269328</v>
      </c>
      <c r="H408" s="2696">
        <f>G408/F408</f>
        <v>0.99999628706897514</v>
      </c>
    </row>
    <row r="409" spans="1:8" s="444" customFormat="1" ht="15" customHeight="1">
      <c r="A409" s="477"/>
      <c r="B409" s="494"/>
      <c r="C409" s="2681" t="s">
        <v>708</v>
      </c>
      <c r="D409" s="2662" t="s">
        <v>579</v>
      </c>
      <c r="E409" s="2603">
        <v>0</v>
      </c>
      <c r="F409" s="2603">
        <v>237171</v>
      </c>
      <c r="G409" s="2604">
        <v>237170.28</v>
      </c>
      <c r="H409" s="2696">
        <f>G409/F409</f>
        <v>0.99999696421569251</v>
      </c>
    </row>
    <row r="410" spans="1:8" s="444" customFormat="1" ht="15" customHeight="1">
      <c r="A410" s="477"/>
      <c r="B410" s="494"/>
      <c r="C410" s="2681" t="s">
        <v>709</v>
      </c>
      <c r="D410" s="2682" t="s">
        <v>586</v>
      </c>
      <c r="E410" s="2603">
        <v>0</v>
      </c>
      <c r="F410" s="2603">
        <v>32158</v>
      </c>
      <c r="G410" s="2604">
        <v>32157.72</v>
      </c>
      <c r="H410" s="2696">
        <f>G410/F410</f>
        <v>0.99999129299085765</v>
      </c>
    </row>
    <row r="411" spans="1:8" s="444" customFormat="1" ht="15" customHeight="1">
      <c r="A411" s="477"/>
      <c r="B411" s="494"/>
      <c r="C411" s="2679"/>
      <c r="D411" s="2680"/>
      <c r="E411" s="2603"/>
      <c r="F411" s="2609"/>
      <c r="G411" s="2610"/>
      <c r="H411" s="2697"/>
    </row>
    <row r="412" spans="1:8" s="444" customFormat="1" ht="15" customHeight="1">
      <c r="A412" s="477"/>
      <c r="B412" s="494"/>
      <c r="C412" s="4980" t="s">
        <v>603</v>
      </c>
      <c r="D412" s="4980"/>
      <c r="E412" s="2698">
        <f>SUM(E413)</f>
        <v>12226430</v>
      </c>
      <c r="F412" s="2698">
        <f>SUM(F413)</f>
        <v>23099426</v>
      </c>
      <c r="G412" s="2699">
        <f>SUM(G413)</f>
        <v>22103088.430000003</v>
      </c>
      <c r="H412" s="2700">
        <f t="shared" ref="H412:H418" si="45">G412/F412</f>
        <v>0.95686743168423338</v>
      </c>
    </row>
    <row r="413" spans="1:8" s="444" customFormat="1" ht="15" customHeight="1">
      <c r="A413" s="477"/>
      <c r="B413" s="494"/>
      <c r="C413" s="4981" t="s">
        <v>604</v>
      </c>
      <c r="D413" s="4981"/>
      <c r="E413" s="2603">
        <f>SUM(E414:E418)</f>
        <v>12226430</v>
      </c>
      <c r="F413" s="2603">
        <f>SUM(F414:F418)</f>
        <v>23099426</v>
      </c>
      <c r="G413" s="2604">
        <f>SUM(G414:G418)</f>
        <v>22103088.430000003</v>
      </c>
      <c r="H413" s="2701">
        <f t="shared" si="45"/>
        <v>0.95686743168423338</v>
      </c>
    </row>
    <row r="414" spans="1:8" s="444" customFormat="1" ht="15" customHeight="1">
      <c r="A414" s="477"/>
      <c r="B414" s="494"/>
      <c r="C414" s="2661" t="s">
        <v>339</v>
      </c>
      <c r="D414" s="2662" t="s">
        <v>671</v>
      </c>
      <c r="E414" s="2603">
        <v>776283</v>
      </c>
      <c r="F414" s="2603">
        <v>11360594</v>
      </c>
      <c r="G414" s="2604">
        <v>10599404.01</v>
      </c>
      <c r="H414" s="2701">
        <f t="shared" si="45"/>
        <v>0.932997342392484</v>
      </c>
    </row>
    <row r="415" spans="1:8" s="444" customFormat="1" ht="15" customHeight="1">
      <c r="A415" s="477"/>
      <c r="B415" s="494"/>
      <c r="C415" s="2661" t="s">
        <v>672</v>
      </c>
      <c r="D415" s="2662" t="s">
        <v>671</v>
      </c>
      <c r="E415" s="2603">
        <v>9647625</v>
      </c>
      <c r="F415" s="2603">
        <v>9647625</v>
      </c>
      <c r="G415" s="2604">
        <v>9500091.8000000007</v>
      </c>
      <c r="H415" s="2701">
        <f t="shared" si="45"/>
        <v>0.984707821873259</v>
      </c>
    </row>
    <row r="416" spans="1:8" s="444" customFormat="1" ht="15" customHeight="1" thickBot="1">
      <c r="A416" s="501"/>
      <c r="B416" s="598"/>
      <c r="C416" s="2659" t="s">
        <v>673</v>
      </c>
      <c r="D416" s="2660" t="s">
        <v>671</v>
      </c>
      <c r="E416" s="503">
        <v>1702522</v>
      </c>
      <c r="F416" s="503">
        <v>1683874</v>
      </c>
      <c r="G416" s="702">
        <v>1676486.8</v>
      </c>
      <c r="H416" s="2245">
        <f t="shared" si="45"/>
        <v>0.99561297341725097</v>
      </c>
    </row>
    <row r="417" spans="1:10" s="444" customFormat="1" ht="15" customHeight="1">
      <c r="A417" s="500"/>
      <c r="B417" s="2241"/>
      <c r="C417" s="2702" t="s">
        <v>354</v>
      </c>
      <c r="D417" s="2703" t="s">
        <v>605</v>
      </c>
      <c r="E417" s="2292">
        <v>100000</v>
      </c>
      <c r="F417" s="2292">
        <v>100000</v>
      </c>
      <c r="G417" s="2435">
        <v>19773.5</v>
      </c>
      <c r="H417" s="2063">
        <f t="shared" si="45"/>
        <v>0.19773499999999999</v>
      </c>
    </row>
    <row r="418" spans="1:10" s="444" customFormat="1" ht="15" customHeight="1">
      <c r="A418" s="477"/>
      <c r="B418" s="494"/>
      <c r="C418" s="2675" t="s">
        <v>668</v>
      </c>
      <c r="D418" s="2704" t="s">
        <v>605</v>
      </c>
      <c r="E418" s="2603">
        <v>0</v>
      </c>
      <c r="F418" s="2603">
        <v>307333</v>
      </c>
      <c r="G418" s="2604">
        <v>307332.32</v>
      </c>
      <c r="H418" s="2701">
        <f t="shared" si="45"/>
        <v>0.99999778741625533</v>
      </c>
    </row>
    <row r="419" spans="1:10" s="444" customFormat="1">
      <c r="A419" s="477"/>
      <c r="B419" s="494"/>
      <c r="C419" s="4965"/>
      <c r="D419" s="4966"/>
      <c r="E419" s="2603"/>
      <c r="F419" s="2609"/>
      <c r="G419" s="2610"/>
      <c r="H419" s="2705"/>
    </row>
    <row r="420" spans="1:10" s="444" customFormat="1" ht="15" customHeight="1">
      <c r="A420" s="477"/>
      <c r="B420" s="494"/>
      <c r="C420" s="4967" t="s">
        <v>669</v>
      </c>
      <c r="D420" s="4968"/>
      <c r="E420" s="2706">
        <f>SUM(E421:E424)</f>
        <v>11566430</v>
      </c>
      <c r="F420" s="2706">
        <f>SUM(F421:F424)</f>
        <v>22439426</v>
      </c>
      <c r="G420" s="2707">
        <f>SUM(G421:G424)</f>
        <v>21912731.27</v>
      </c>
      <c r="H420" s="2701">
        <f t="shared" ref="H420:H430" si="46">G420/F420</f>
        <v>0.97652815495369616</v>
      </c>
    </row>
    <row r="421" spans="1:10" s="444" customFormat="1" ht="15" customHeight="1">
      <c r="A421" s="477"/>
      <c r="B421" s="494"/>
      <c r="C421" s="2708" t="s">
        <v>339</v>
      </c>
      <c r="D421" s="2662" t="s">
        <v>671</v>
      </c>
      <c r="E421" s="2603">
        <v>216283</v>
      </c>
      <c r="F421" s="2603">
        <v>10800594</v>
      </c>
      <c r="G421" s="2604">
        <v>10428820.35</v>
      </c>
      <c r="H421" s="2701">
        <f t="shared" si="46"/>
        <v>0.96557840707649967</v>
      </c>
    </row>
    <row r="422" spans="1:10" s="444" customFormat="1" ht="15" customHeight="1">
      <c r="A422" s="477"/>
      <c r="B422" s="494"/>
      <c r="C422" s="2708" t="s">
        <v>672</v>
      </c>
      <c r="D422" s="2662" t="s">
        <v>671</v>
      </c>
      <c r="E422" s="2603">
        <v>9647625</v>
      </c>
      <c r="F422" s="2603">
        <v>9647625</v>
      </c>
      <c r="G422" s="2604">
        <v>9500091.8000000007</v>
      </c>
      <c r="H422" s="2701">
        <f t="shared" si="46"/>
        <v>0.984707821873259</v>
      </c>
    </row>
    <row r="423" spans="1:10" s="444" customFormat="1" ht="15" customHeight="1">
      <c r="A423" s="479"/>
      <c r="B423" s="494"/>
      <c r="C423" s="2709" t="s">
        <v>673</v>
      </c>
      <c r="D423" s="2710" t="s">
        <v>671</v>
      </c>
      <c r="E423" s="2603">
        <v>1702522</v>
      </c>
      <c r="F423" s="2603">
        <v>1683874</v>
      </c>
      <c r="G423" s="2604">
        <v>1676486.8</v>
      </c>
      <c r="H423" s="2701">
        <f t="shared" si="46"/>
        <v>0.99561297341725097</v>
      </c>
    </row>
    <row r="424" spans="1:10" ht="15" customHeight="1" thickBot="1">
      <c r="A424" s="535"/>
      <c r="B424" s="598"/>
      <c r="C424" s="2659" t="s">
        <v>668</v>
      </c>
      <c r="D424" s="2711" t="s">
        <v>605</v>
      </c>
      <c r="E424" s="608">
        <v>0</v>
      </c>
      <c r="F424" s="608">
        <v>307333</v>
      </c>
      <c r="G424" s="1309">
        <v>307332.32</v>
      </c>
      <c r="H424" s="2245">
        <f t="shared" si="46"/>
        <v>0.99999778741625533</v>
      </c>
    </row>
    <row r="425" spans="1:10" s="444" customFormat="1" ht="15" customHeight="1" thickBot="1">
      <c r="A425" s="2312" t="s">
        <v>710</v>
      </c>
      <c r="B425" s="1974"/>
      <c r="C425" s="475"/>
      <c r="D425" s="476" t="s">
        <v>711</v>
      </c>
      <c r="E425" s="2601">
        <f>SUM(E426,E435)</f>
        <v>1346586</v>
      </c>
      <c r="F425" s="2601">
        <f>SUM(F426,F435)</f>
        <v>4185099</v>
      </c>
      <c r="G425" s="2602">
        <f>SUM(G426,G435)</f>
        <v>3630253.4299999997</v>
      </c>
      <c r="H425" s="2341">
        <f t="shared" si="46"/>
        <v>0.86742354959822932</v>
      </c>
    </row>
    <row r="426" spans="1:10" s="444" customFormat="1" ht="15" customHeight="1" thickBot="1">
      <c r="A426" s="550"/>
      <c r="B426" s="2712" t="s">
        <v>712</v>
      </c>
      <c r="C426" s="551"/>
      <c r="D426" s="552" t="s">
        <v>126</v>
      </c>
      <c r="E426" s="2562">
        <f>SUM(E427)</f>
        <v>352000</v>
      </c>
      <c r="F426" s="2562">
        <f>SUM(F427)</f>
        <v>628000</v>
      </c>
      <c r="G426" s="2563">
        <f>SUM(G427)</f>
        <v>464628</v>
      </c>
      <c r="H426" s="2242">
        <f t="shared" si="46"/>
        <v>0.73985350318471332</v>
      </c>
    </row>
    <row r="427" spans="1:10" s="444" customFormat="1" ht="18.75" customHeight="1">
      <c r="A427" s="553"/>
      <c r="B427" s="4969"/>
      <c r="C427" s="4972" t="s">
        <v>567</v>
      </c>
      <c r="D427" s="4972"/>
      <c r="E427" s="2565">
        <f>SUM(E428,E432)</f>
        <v>352000</v>
      </c>
      <c r="F427" s="2565">
        <f>SUM(F428,F432)</f>
        <v>628000</v>
      </c>
      <c r="G427" s="2566">
        <f>SUM(G428,G432)</f>
        <v>464628</v>
      </c>
      <c r="H427" s="2719">
        <f t="shared" si="46"/>
        <v>0.73985350318471332</v>
      </c>
      <c r="J427" s="444" t="s">
        <v>713</v>
      </c>
    </row>
    <row r="428" spans="1:10" s="444" customFormat="1" ht="17.25" customHeight="1">
      <c r="A428" s="554"/>
      <c r="B428" s="4970"/>
      <c r="C428" s="4952" t="s">
        <v>568</v>
      </c>
      <c r="D428" s="4952"/>
      <c r="E428" s="2722">
        <f t="shared" ref="E428:G429" si="47">SUM(E429)</f>
        <v>7000</v>
      </c>
      <c r="F428" s="2722">
        <f t="shared" si="47"/>
        <v>13000</v>
      </c>
      <c r="G428" s="2723">
        <f t="shared" si="47"/>
        <v>5628</v>
      </c>
      <c r="H428" s="2720">
        <f t="shared" si="46"/>
        <v>0.43292307692307691</v>
      </c>
    </row>
    <row r="429" spans="1:10" s="444" customFormat="1" ht="17.25" customHeight="1">
      <c r="A429" s="554"/>
      <c r="B429" s="4970"/>
      <c r="C429" s="4967" t="s">
        <v>577</v>
      </c>
      <c r="D429" s="4967"/>
      <c r="E429" s="2724">
        <f t="shared" si="47"/>
        <v>7000</v>
      </c>
      <c r="F429" s="2724">
        <f t="shared" si="47"/>
        <v>13000</v>
      </c>
      <c r="G429" s="2725">
        <f t="shared" si="47"/>
        <v>5628</v>
      </c>
      <c r="H429" s="2720">
        <f t="shared" si="46"/>
        <v>0.43292307692307691</v>
      </c>
    </row>
    <row r="430" spans="1:10" s="444" customFormat="1" ht="15" customHeight="1">
      <c r="A430" s="554"/>
      <c r="B430" s="4970"/>
      <c r="C430" s="2661" t="s">
        <v>312</v>
      </c>
      <c r="D430" s="2662" t="s">
        <v>584</v>
      </c>
      <c r="E430" s="2603">
        <v>7000</v>
      </c>
      <c r="F430" s="2603">
        <v>13000</v>
      </c>
      <c r="G430" s="2604">
        <v>5628</v>
      </c>
      <c r="H430" s="2720">
        <f t="shared" si="46"/>
        <v>0.43292307692307691</v>
      </c>
    </row>
    <row r="431" spans="1:10" s="444" customFormat="1" ht="15" customHeight="1">
      <c r="A431" s="554"/>
      <c r="B431" s="4970"/>
      <c r="C431" s="4973"/>
      <c r="D431" s="4974"/>
      <c r="E431" s="2603"/>
      <c r="F431" s="2603"/>
      <c r="G431" s="2604"/>
      <c r="H431" s="2720"/>
    </row>
    <row r="432" spans="1:10" s="444" customFormat="1" ht="15" customHeight="1">
      <c r="A432" s="554"/>
      <c r="B432" s="4970"/>
      <c r="C432" s="4975" t="s">
        <v>601</v>
      </c>
      <c r="D432" s="4976"/>
      <c r="E432" s="2603">
        <f>SUM(E433:E434)</f>
        <v>345000</v>
      </c>
      <c r="F432" s="2603">
        <f t="shared" ref="F432:G432" si="48">SUM(F433:F434)</f>
        <v>615000</v>
      </c>
      <c r="G432" s="2604">
        <f t="shared" si="48"/>
        <v>459000</v>
      </c>
      <c r="H432" s="2713">
        <f t="shared" ref="H432:H436" si="49">G432/F432</f>
        <v>0.74634146341463414</v>
      </c>
    </row>
    <row r="433" spans="1:10" s="444" customFormat="1" ht="15" customHeight="1">
      <c r="A433" s="554"/>
      <c r="B433" s="4970"/>
      <c r="C433" s="2714" t="s">
        <v>714</v>
      </c>
      <c r="D433" s="2715" t="s">
        <v>715</v>
      </c>
      <c r="E433" s="533">
        <v>0</v>
      </c>
      <c r="F433" s="533">
        <v>270000</v>
      </c>
      <c r="G433" s="677">
        <v>126000</v>
      </c>
      <c r="H433" s="2720">
        <f t="shared" si="49"/>
        <v>0.46666666666666667</v>
      </c>
    </row>
    <row r="434" spans="1:10" s="444" customFormat="1" ht="15" customHeight="1" thickBot="1">
      <c r="A434" s="553"/>
      <c r="B434" s="4971"/>
      <c r="C434" s="555" t="s">
        <v>716</v>
      </c>
      <c r="D434" s="2716" t="s">
        <v>717</v>
      </c>
      <c r="E434" s="503">
        <v>345000</v>
      </c>
      <c r="F434" s="503">
        <v>345000</v>
      </c>
      <c r="G434" s="702">
        <v>333000</v>
      </c>
      <c r="H434" s="701">
        <f t="shared" si="49"/>
        <v>0.9652173913043478</v>
      </c>
    </row>
    <row r="435" spans="1:10" s="444" customFormat="1" ht="15" customHeight="1" thickBot="1">
      <c r="A435" s="639"/>
      <c r="B435" s="490" t="s">
        <v>718</v>
      </c>
      <c r="C435" s="491"/>
      <c r="D435" s="492" t="s">
        <v>44</v>
      </c>
      <c r="E435" s="493">
        <f>SUM(E436,E459)</f>
        <v>994586</v>
      </c>
      <c r="F435" s="493">
        <f>SUM(F436,F459)</f>
        <v>3557099</v>
      </c>
      <c r="G435" s="548">
        <f>SUM(G436,G459)</f>
        <v>3165625.4299999997</v>
      </c>
      <c r="H435" s="2242">
        <f t="shared" si="49"/>
        <v>0.88994583226387558</v>
      </c>
    </row>
    <row r="436" spans="1:10" s="444" customFormat="1" ht="15" customHeight="1">
      <c r="A436" s="477"/>
      <c r="B436" s="624"/>
      <c r="C436" s="4991" t="s">
        <v>567</v>
      </c>
      <c r="D436" s="4991"/>
      <c r="E436" s="2726">
        <f>SUM(E437,E441,E445)</f>
        <v>994586</v>
      </c>
      <c r="F436" s="2726">
        <f>SUM(F437,F441,F445)</f>
        <v>1557099</v>
      </c>
      <c r="G436" s="2727">
        <f>SUM(G437,G441,G445)</f>
        <v>1306537.28</v>
      </c>
      <c r="H436" s="2728">
        <f t="shared" si="49"/>
        <v>0.83908427145608599</v>
      </c>
    </row>
    <row r="437" spans="1:10" s="444" customFormat="1" ht="15" customHeight="1">
      <c r="A437" s="477"/>
      <c r="B437" s="624"/>
      <c r="C437" s="4952" t="s">
        <v>568</v>
      </c>
      <c r="D437" s="4952"/>
      <c r="E437" s="2729">
        <f t="shared" ref="E437:G438" si="50">SUM(E438)</f>
        <v>177675</v>
      </c>
      <c r="F437" s="2729">
        <f t="shared" si="50"/>
        <v>0</v>
      </c>
      <c r="G437" s="2730">
        <f t="shared" si="50"/>
        <v>0</v>
      </c>
      <c r="H437" s="2731"/>
    </row>
    <row r="438" spans="1:10" s="444" customFormat="1" ht="15" customHeight="1">
      <c r="A438" s="477"/>
      <c r="B438" s="624"/>
      <c r="C438" s="4967" t="s">
        <v>577</v>
      </c>
      <c r="D438" s="4967"/>
      <c r="E438" s="2732">
        <f t="shared" si="50"/>
        <v>177675</v>
      </c>
      <c r="F438" s="2732">
        <f t="shared" si="50"/>
        <v>0</v>
      </c>
      <c r="G438" s="2733">
        <f t="shared" si="50"/>
        <v>0</v>
      </c>
      <c r="H438" s="2731"/>
    </row>
    <row r="439" spans="1:10" s="444" customFormat="1" ht="15" customHeight="1">
      <c r="A439" s="477"/>
      <c r="B439" s="624"/>
      <c r="C439" s="2661" t="s">
        <v>312</v>
      </c>
      <c r="D439" s="2662" t="s">
        <v>584</v>
      </c>
      <c r="E439" s="2603">
        <v>177675</v>
      </c>
      <c r="F439" s="2603">
        <v>0</v>
      </c>
      <c r="G439" s="2604">
        <v>0</v>
      </c>
      <c r="H439" s="2731"/>
      <c r="J439" s="444" t="s">
        <v>719</v>
      </c>
    </row>
    <row r="440" spans="1:10" s="444" customFormat="1" ht="15" customHeight="1">
      <c r="A440" s="477"/>
      <c r="B440" s="624"/>
      <c r="C440" s="2734"/>
      <c r="D440" s="2734"/>
      <c r="E440" s="2603"/>
      <c r="F440" s="2603"/>
      <c r="G440" s="2604"/>
      <c r="H440" s="2731"/>
    </row>
    <row r="441" spans="1:10" s="444" customFormat="1" ht="15" customHeight="1">
      <c r="A441" s="477"/>
      <c r="B441" s="624"/>
      <c r="C441" s="4981" t="s">
        <v>640</v>
      </c>
      <c r="D441" s="4981"/>
      <c r="E441" s="2729">
        <f>SUM(E442:E443)</f>
        <v>55000</v>
      </c>
      <c r="F441" s="2729">
        <f>SUM(F442:F443)</f>
        <v>217000</v>
      </c>
      <c r="G441" s="2730">
        <f>SUM(G442:G443)</f>
        <v>217000</v>
      </c>
      <c r="H441" s="2731">
        <f>G441/F441</f>
        <v>1</v>
      </c>
    </row>
    <row r="442" spans="1:10" s="444" customFormat="1" ht="27" customHeight="1">
      <c r="A442" s="477"/>
      <c r="B442" s="624"/>
      <c r="C442" s="2681" t="s">
        <v>720</v>
      </c>
      <c r="D442" s="2721" t="s">
        <v>721</v>
      </c>
      <c r="E442" s="2603">
        <v>0</v>
      </c>
      <c r="F442" s="2603">
        <v>162000</v>
      </c>
      <c r="G442" s="2604">
        <v>162000</v>
      </c>
      <c r="H442" s="2720">
        <f>G442/F442</f>
        <v>1</v>
      </c>
    </row>
    <row r="443" spans="1:10" s="444" customFormat="1" ht="54" customHeight="1">
      <c r="A443" s="477"/>
      <c r="B443" s="624"/>
      <c r="C443" s="2681" t="s">
        <v>91</v>
      </c>
      <c r="D443" s="2721" t="s">
        <v>649</v>
      </c>
      <c r="E443" s="2603">
        <v>55000</v>
      </c>
      <c r="F443" s="2603">
        <v>55000</v>
      </c>
      <c r="G443" s="2604">
        <v>55000</v>
      </c>
      <c r="H443" s="2720">
        <f>G443/F443</f>
        <v>1</v>
      </c>
      <c r="J443" s="444" t="s">
        <v>713</v>
      </c>
    </row>
    <row r="444" spans="1:10" ht="16.5" customHeight="1" thickBot="1">
      <c r="A444" s="535"/>
      <c r="B444" s="2717"/>
      <c r="C444" s="2718"/>
      <c r="D444" s="2718"/>
      <c r="E444" s="503"/>
      <c r="F444" s="2618"/>
      <c r="G444" s="2619"/>
      <c r="H444" s="2620"/>
    </row>
    <row r="445" spans="1:10" s="444" customFormat="1" ht="16.5" customHeight="1">
      <c r="A445" s="500"/>
      <c r="B445" s="2735"/>
      <c r="C445" s="4992" t="s">
        <v>608</v>
      </c>
      <c r="D445" s="4992"/>
      <c r="E445" s="2749">
        <f>SUM(E446:E457)</f>
        <v>761911</v>
      </c>
      <c r="F445" s="2749">
        <f>SUM(F446:F457)</f>
        <v>1340099</v>
      </c>
      <c r="G445" s="2750">
        <f>SUM(G446:G457)</f>
        <v>1089537.28</v>
      </c>
      <c r="H445" s="2751">
        <f t="shared" ref="H445:H457" si="51">G445/F445</f>
        <v>0.81302745543426269</v>
      </c>
    </row>
    <row r="446" spans="1:10" s="444" customFormat="1" ht="15" customHeight="1">
      <c r="A446" s="477"/>
      <c r="B446" s="495"/>
      <c r="C446" s="2757" t="s">
        <v>655</v>
      </c>
      <c r="D446" s="2758" t="s">
        <v>656</v>
      </c>
      <c r="E446" s="2741">
        <v>0</v>
      </c>
      <c r="F446" s="2741">
        <v>20101</v>
      </c>
      <c r="G446" s="2742">
        <v>20100.96</v>
      </c>
      <c r="H446" s="2720">
        <f t="shared" si="51"/>
        <v>0.99999801004925126</v>
      </c>
    </row>
    <row r="447" spans="1:10" s="444" customFormat="1" ht="15" customHeight="1">
      <c r="A447" s="477"/>
      <c r="B447" s="495"/>
      <c r="C447" s="2736" t="s">
        <v>722</v>
      </c>
      <c r="D447" s="2662" t="s">
        <v>571</v>
      </c>
      <c r="E447" s="2603">
        <v>0</v>
      </c>
      <c r="F447" s="2603">
        <v>24986</v>
      </c>
      <c r="G447" s="2604">
        <v>24986</v>
      </c>
      <c r="H447" s="2720">
        <f t="shared" si="51"/>
        <v>1</v>
      </c>
    </row>
    <row r="448" spans="1:10" s="444" customFormat="1" ht="15" customHeight="1">
      <c r="A448" s="477"/>
      <c r="B448" s="495"/>
      <c r="C448" s="2737" t="s">
        <v>723</v>
      </c>
      <c r="D448" s="2710" t="s">
        <v>573</v>
      </c>
      <c r="E448" s="2603">
        <v>0</v>
      </c>
      <c r="F448" s="2603">
        <v>4257</v>
      </c>
      <c r="G448" s="2604">
        <v>4257</v>
      </c>
      <c r="H448" s="2720">
        <f t="shared" si="51"/>
        <v>1</v>
      </c>
    </row>
    <row r="449" spans="1:10" s="444" customFormat="1" ht="15" customHeight="1">
      <c r="A449" s="477"/>
      <c r="B449" s="495"/>
      <c r="C449" s="2738" t="s">
        <v>724</v>
      </c>
      <c r="D449" s="2662" t="s">
        <v>574</v>
      </c>
      <c r="E449" s="2603">
        <v>0</v>
      </c>
      <c r="F449" s="2603">
        <v>607</v>
      </c>
      <c r="G449" s="2604">
        <v>607</v>
      </c>
      <c r="H449" s="2720">
        <f t="shared" si="51"/>
        <v>1</v>
      </c>
    </row>
    <row r="450" spans="1:10" s="444" customFormat="1" ht="15" customHeight="1">
      <c r="A450" s="477"/>
      <c r="B450" s="479"/>
      <c r="C450" s="2661" t="s">
        <v>725</v>
      </c>
      <c r="D450" s="2662" t="s">
        <v>575</v>
      </c>
      <c r="E450" s="2603">
        <v>20000</v>
      </c>
      <c r="F450" s="2603">
        <v>0</v>
      </c>
      <c r="G450" s="2604">
        <v>0</v>
      </c>
      <c r="H450" s="2720"/>
      <c r="J450" s="444" t="s">
        <v>706</v>
      </c>
    </row>
    <row r="451" spans="1:10" s="444" customFormat="1" ht="15" customHeight="1">
      <c r="A451" s="477"/>
      <c r="B451" s="479"/>
      <c r="C451" s="2661" t="s">
        <v>708</v>
      </c>
      <c r="D451" s="2662" t="s">
        <v>579</v>
      </c>
      <c r="E451" s="2603">
        <v>50000</v>
      </c>
      <c r="F451" s="2603">
        <v>44100</v>
      </c>
      <c r="G451" s="2604">
        <v>44058.6</v>
      </c>
      <c r="H451" s="2720">
        <f t="shared" si="51"/>
        <v>0.99906122448979584</v>
      </c>
      <c r="J451" s="444" t="s">
        <v>706</v>
      </c>
    </row>
    <row r="452" spans="1:10" s="444" customFormat="1" ht="15" customHeight="1">
      <c r="A452" s="477"/>
      <c r="B452" s="479"/>
      <c r="C452" s="2661" t="s">
        <v>726</v>
      </c>
      <c r="D452" s="2662" t="s">
        <v>584</v>
      </c>
      <c r="E452" s="2603">
        <v>423028</v>
      </c>
      <c r="F452" s="2603">
        <v>760519</v>
      </c>
      <c r="G452" s="2604">
        <v>554494.48</v>
      </c>
      <c r="H452" s="2720">
        <f t="shared" si="51"/>
        <v>0.72910010137813785</v>
      </c>
      <c r="J452" s="444" t="s">
        <v>706</v>
      </c>
    </row>
    <row r="453" spans="1:10" s="444" customFormat="1" ht="15" customHeight="1">
      <c r="A453" s="477"/>
      <c r="B453" s="479"/>
      <c r="C453" s="2739" t="s">
        <v>709</v>
      </c>
      <c r="D453" s="2740" t="s">
        <v>586</v>
      </c>
      <c r="E453" s="2603">
        <v>151883</v>
      </c>
      <c r="F453" s="2603">
        <v>213899</v>
      </c>
      <c r="G453" s="2604">
        <v>213898.05</v>
      </c>
      <c r="H453" s="2720">
        <f t="shared" si="51"/>
        <v>0.99999555865151302</v>
      </c>
      <c r="J453" s="444" t="s">
        <v>706</v>
      </c>
    </row>
    <row r="454" spans="1:10" s="444" customFormat="1" ht="15" customHeight="1">
      <c r="A454" s="479"/>
      <c r="B454" s="479"/>
      <c r="C454" s="2709" t="s">
        <v>727</v>
      </c>
      <c r="D454" s="2710" t="s">
        <v>589</v>
      </c>
      <c r="E454" s="2741">
        <v>25000</v>
      </c>
      <c r="F454" s="2741">
        <v>40000</v>
      </c>
      <c r="G454" s="2742">
        <v>17362.29</v>
      </c>
      <c r="H454" s="2720">
        <f t="shared" si="51"/>
        <v>0.43405725000000001</v>
      </c>
      <c r="J454" s="444" t="s">
        <v>706</v>
      </c>
    </row>
    <row r="455" spans="1:10" s="444" customFormat="1" ht="15" customHeight="1">
      <c r="A455" s="477"/>
      <c r="B455" s="479"/>
      <c r="C455" s="2743" t="s">
        <v>728</v>
      </c>
      <c r="D455" s="2676" t="s">
        <v>591</v>
      </c>
      <c r="E455" s="2741">
        <v>75000</v>
      </c>
      <c r="F455" s="2741">
        <v>230000</v>
      </c>
      <c r="G455" s="2742">
        <v>208143.75</v>
      </c>
      <c r="H455" s="2720">
        <f t="shared" si="51"/>
        <v>0.90497282608695651</v>
      </c>
      <c r="J455" s="444" t="s">
        <v>706</v>
      </c>
    </row>
    <row r="456" spans="1:10" s="444" customFormat="1" ht="15" customHeight="1">
      <c r="A456" s="477"/>
      <c r="B456" s="479"/>
      <c r="C456" s="2709" t="s">
        <v>729</v>
      </c>
      <c r="D456" s="2710" t="s">
        <v>600</v>
      </c>
      <c r="E456" s="2603">
        <v>17000</v>
      </c>
      <c r="F456" s="2603">
        <v>1480</v>
      </c>
      <c r="G456" s="2604">
        <v>1479.15</v>
      </c>
      <c r="H456" s="2720">
        <f t="shared" si="51"/>
        <v>0.99942567567567575</v>
      </c>
      <c r="J456" s="444" t="s">
        <v>706</v>
      </c>
    </row>
    <row r="457" spans="1:10" s="444" customFormat="1" ht="15" customHeight="1">
      <c r="A457" s="479"/>
      <c r="B457" s="479"/>
      <c r="C457" s="2744" t="s">
        <v>730</v>
      </c>
      <c r="D457" s="2745" t="s">
        <v>576</v>
      </c>
      <c r="E457" s="2722">
        <v>0</v>
      </c>
      <c r="F457" s="2722">
        <v>150</v>
      </c>
      <c r="G457" s="2723">
        <v>150</v>
      </c>
      <c r="H457" s="2720">
        <f t="shared" si="51"/>
        <v>1</v>
      </c>
    </row>
    <row r="458" spans="1:10" s="444" customFormat="1">
      <c r="A458" s="477"/>
      <c r="B458" s="479"/>
      <c r="C458" s="4982"/>
      <c r="D458" s="4983"/>
      <c r="E458" s="2603"/>
      <c r="F458" s="2603"/>
      <c r="G458" s="2604"/>
      <c r="H458" s="2720"/>
    </row>
    <row r="459" spans="1:10" s="444" customFormat="1" ht="15" customHeight="1">
      <c r="A459" s="477"/>
      <c r="B459" s="479"/>
      <c r="C459" s="4984" t="s">
        <v>603</v>
      </c>
      <c r="D459" s="4985"/>
      <c r="E459" s="2746">
        <f>SUM(E460)</f>
        <v>0</v>
      </c>
      <c r="F459" s="2746">
        <f>SUM(F460)</f>
        <v>2000000</v>
      </c>
      <c r="G459" s="2747">
        <f>SUM(G460)</f>
        <v>1859088.15</v>
      </c>
      <c r="H459" s="2719">
        <f>G459/F459</f>
        <v>0.92954407499999991</v>
      </c>
    </row>
    <row r="460" spans="1:10" s="444" customFormat="1" ht="15" customHeight="1">
      <c r="A460" s="477"/>
      <c r="B460" s="479"/>
      <c r="C460" s="4986" t="s">
        <v>604</v>
      </c>
      <c r="D460" s="4987"/>
      <c r="E460" s="2752">
        <f>SUM(E461:E462)</f>
        <v>0</v>
      </c>
      <c r="F460" s="2752">
        <f>SUM(F461:F462)</f>
        <v>2000000</v>
      </c>
      <c r="G460" s="2753">
        <f>SUM(G461:G462)</f>
        <v>1859088.15</v>
      </c>
      <c r="H460" s="2720">
        <f>G460/F460</f>
        <v>0.92954407499999991</v>
      </c>
    </row>
    <row r="461" spans="1:10" s="444" customFormat="1" ht="38.25">
      <c r="A461" s="477"/>
      <c r="B461" s="479"/>
      <c r="C461" s="2754" t="s">
        <v>338</v>
      </c>
      <c r="D461" s="2755" t="s">
        <v>731</v>
      </c>
      <c r="E461" s="2603">
        <v>0</v>
      </c>
      <c r="F461" s="2603">
        <v>1785000</v>
      </c>
      <c r="G461" s="2604">
        <v>1644088.15</v>
      </c>
      <c r="H461" s="2720">
        <f>G461/F461</f>
        <v>0.92105778711484587</v>
      </c>
    </row>
    <row r="462" spans="1:10" s="444" customFormat="1" ht="39" thickBot="1">
      <c r="A462" s="501"/>
      <c r="B462" s="502"/>
      <c r="C462" s="2748" t="s">
        <v>374</v>
      </c>
      <c r="D462" s="2756" t="s">
        <v>732</v>
      </c>
      <c r="E462" s="503">
        <v>0</v>
      </c>
      <c r="F462" s="503">
        <v>215000</v>
      </c>
      <c r="G462" s="702">
        <v>215000</v>
      </c>
      <c r="H462" s="2245">
        <f>G462/F462</f>
        <v>1</v>
      </c>
    </row>
    <row r="463" spans="1:10" ht="15" customHeight="1" thickBot="1">
      <c r="A463" s="2312" t="s">
        <v>408</v>
      </c>
      <c r="B463" s="1974"/>
      <c r="C463" s="475"/>
      <c r="D463" s="476" t="s">
        <v>733</v>
      </c>
      <c r="E463" s="2601">
        <f>SUM(E464,E474,E489,E593,E604,E640,E659)</f>
        <v>250241602</v>
      </c>
      <c r="F463" s="2601">
        <f>SUM(F464,F474,F489,F593,F604,F640,F659)</f>
        <v>266066562</v>
      </c>
      <c r="G463" s="2602">
        <f>SUM(G464,G474,G489,G593,G604,G640,G659)</f>
        <v>246623120.19999999</v>
      </c>
      <c r="H463" s="2318">
        <f t="shared" ref="H463:H478" si="52">G463/F463</f>
        <v>0.92692264050827999</v>
      </c>
    </row>
    <row r="464" spans="1:10" ht="15" customHeight="1" thickBot="1">
      <c r="A464" s="517"/>
      <c r="B464" s="2343" t="s">
        <v>407</v>
      </c>
      <c r="C464" s="2344"/>
      <c r="D464" s="2345" t="s">
        <v>133</v>
      </c>
      <c r="E464" s="2346">
        <f t="shared" ref="E464:G466" si="53">SUM(E465)</f>
        <v>2178028</v>
      </c>
      <c r="F464" s="2051">
        <f t="shared" si="53"/>
        <v>2757423</v>
      </c>
      <c r="G464" s="2052">
        <f t="shared" si="53"/>
        <v>2735950.3</v>
      </c>
      <c r="H464" s="2242">
        <f t="shared" si="52"/>
        <v>0.99221276532472524</v>
      </c>
    </row>
    <row r="465" spans="1:10" ht="15" customHeight="1">
      <c r="A465" s="517"/>
      <c r="B465" s="4830"/>
      <c r="C465" s="4988" t="s">
        <v>567</v>
      </c>
      <c r="D465" s="4988"/>
      <c r="E465" s="2769">
        <f t="shared" si="53"/>
        <v>2178028</v>
      </c>
      <c r="F465" s="2726">
        <f t="shared" si="53"/>
        <v>2757423</v>
      </c>
      <c r="G465" s="2727">
        <f t="shared" si="53"/>
        <v>2735950.3</v>
      </c>
      <c r="H465" s="2728">
        <f t="shared" si="52"/>
        <v>0.99221276532472524</v>
      </c>
    </row>
    <row r="466" spans="1:10" ht="15" customHeight="1">
      <c r="A466" s="517"/>
      <c r="B466" s="4830"/>
      <c r="C466" s="4989" t="s">
        <v>568</v>
      </c>
      <c r="D466" s="4989"/>
      <c r="E466" s="2759">
        <f t="shared" si="53"/>
        <v>2178028</v>
      </c>
      <c r="F466" s="2603">
        <f t="shared" si="53"/>
        <v>2757423</v>
      </c>
      <c r="G466" s="2604">
        <f t="shared" si="53"/>
        <v>2735950.3</v>
      </c>
      <c r="H466" s="2731">
        <f t="shared" si="52"/>
        <v>0.99221276532472524</v>
      </c>
    </row>
    <row r="467" spans="1:10" ht="15" customHeight="1">
      <c r="A467" s="517"/>
      <c r="B467" s="4830"/>
      <c r="C467" s="4990" t="s">
        <v>569</v>
      </c>
      <c r="D467" s="4990"/>
      <c r="E467" s="2760">
        <f>SUM(E468:E473)</f>
        <v>2178028</v>
      </c>
      <c r="F467" s="2605">
        <f>SUM(F468:F473)</f>
        <v>2757423</v>
      </c>
      <c r="G467" s="2606">
        <f>SUM(G468:G473)</f>
        <v>2735950.3</v>
      </c>
      <c r="H467" s="2731">
        <f t="shared" si="52"/>
        <v>0.99221276532472524</v>
      </c>
      <c r="J467" s="444" t="s">
        <v>645</v>
      </c>
    </row>
    <row r="468" spans="1:10" ht="15" customHeight="1">
      <c r="A468" s="517"/>
      <c r="B468" s="4830"/>
      <c r="C468" s="2761" t="s">
        <v>337</v>
      </c>
      <c r="D468" s="2762" t="s">
        <v>571</v>
      </c>
      <c r="E468" s="2763">
        <v>1716608</v>
      </c>
      <c r="F468" s="2763">
        <v>2185156</v>
      </c>
      <c r="G468" s="2764">
        <v>2173184.38</v>
      </c>
      <c r="H468" s="2731">
        <f t="shared" si="52"/>
        <v>0.9945213888619393</v>
      </c>
    </row>
    <row r="469" spans="1:10" ht="15" customHeight="1">
      <c r="A469" s="517"/>
      <c r="B469" s="4830"/>
      <c r="C469" s="2761" t="s">
        <v>336</v>
      </c>
      <c r="D469" s="2762" t="s">
        <v>572</v>
      </c>
      <c r="E469" s="2763">
        <v>112208</v>
      </c>
      <c r="F469" s="2763">
        <v>108508</v>
      </c>
      <c r="G469" s="2764">
        <v>108433.97</v>
      </c>
      <c r="H469" s="2731">
        <f t="shared" si="52"/>
        <v>0.99931774615696545</v>
      </c>
    </row>
    <row r="470" spans="1:10" ht="15" customHeight="1">
      <c r="A470" s="517"/>
      <c r="B470" s="514"/>
      <c r="C470" s="2761" t="s">
        <v>315</v>
      </c>
      <c r="D470" s="2762" t="s">
        <v>573</v>
      </c>
      <c r="E470" s="2763">
        <v>289048</v>
      </c>
      <c r="F470" s="2763">
        <v>387861</v>
      </c>
      <c r="G470" s="2764">
        <v>385820.07</v>
      </c>
      <c r="H470" s="2731">
        <f t="shared" si="52"/>
        <v>0.99473798603107821</v>
      </c>
    </row>
    <row r="471" spans="1:10" ht="15" customHeight="1">
      <c r="A471" s="517"/>
      <c r="B471" s="514"/>
      <c r="C471" s="2761" t="s">
        <v>314</v>
      </c>
      <c r="D471" s="2762" t="s">
        <v>574</v>
      </c>
      <c r="E471" s="2763">
        <v>47059</v>
      </c>
      <c r="F471" s="2763">
        <v>49318</v>
      </c>
      <c r="G471" s="2764">
        <v>45585.85</v>
      </c>
      <c r="H471" s="2731">
        <f t="shared" si="52"/>
        <v>0.92432479013747515</v>
      </c>
    </row>
    <row r="472" spans="1:10" ht="15" customHeight="1">
      <c r="A472" s="517"/>
      <c r="B472" s="514"/>
      <c r="C472" s="2761" t="s">
        <v>319</v>
      </c>
      <c r="D472" s="2762" t="s">
        <v>575</v>
      </c>
      <c r="E472" s="2763">
        <v>5000</v>
      </c>
      <c r="F472" s="2763">
        <v>5000</v>
      </c>
      <c r="G472" s="2764">
        <v>1370.73</v>
      </c>
      <c r="H472" s="2731">
        <f t="shared" si="52"/>
        <v>0.274146</v>
      </c>
    </row>
    <row r="473" spans="1:10" ht="15" customHeight="1" thickBot="1">
      <c r="A473" s="539"/>
      <c r="B473" s="565"/>
      <c r="C473" s="2765" t="s">
        <v>335</v>
      </c>
      <c r="D473" s="2766" t="s">
        <v>576</v>
      </c>
      <c r="E473" s="2767">
        <v>8105</v>
      </c>
      <c r="F473" s="2767">
        <v>21580</v>
      </c>
      <c r="G473" s="2768">
        <v>21555.3</v>
      </c>
      <c r="H473" s="2245">
        <f t="shared" si="52"/>
        <v>0.9988554216867469</v>
      </c>
    </row>
    <row r="474" spans="1:10" ht="15" customHeight="1" thickBot="1">
      <c r="A474" s="2773"/>
      <c r="B474" s="2343" t="s">
        <v>734</v>
      </c>
      <c r="C474" s="2344"/>
      <c r="D474" s="2345" t="s">
        <v>406</v>
      </c>
      <c r="E474" s="2346">
        <f>SUM(E475)</f>
        <v>1603534</v>
      </c>
      <c r="F474" s="2051">
        <f>SUM(F475)</f>
        <v>1615960</v>
      </c>
      <c r="G474" s="2052">
        <f>SUM(G475)</f>
        <v>1420631.1700000002</v>
      </c>
      <c r="H474" s="2242">
        <f t="shared" si="52"/>
        <v>0.87912520730711163</v>
      </c>
    </row>
    <row r="475" spans="1:10" ht="15" customHeight="1">
      <c r="A475" s="517"/>
      <c r="B475" s="514"/>
      <c r="C475" s="4999" t="s">
        <v>567</v>
      </c>
      <c r="D475" s="4999"/>
      <c r="E475" s="2789">
        <f>SUM(E476,E487)</f>
        <v>1603534</v>
      </c>
      <c r="F475" s="2790">
        <f>SUM(F476,F487)</f>
        <v>1615960</v>
      </c>
      <c r="G475" s="2791">
        <f>SUM(G476,G487)</f>
        <v>1420631.1700000002</v>
      </c>
      <c r="H475" s="2792">
        <f t="shared" si="52"/>
        <v>0.87912520730711163</v>
      </c>
    </row>
    <row r="476" spans="1:10" ht="15" customHeight="1">
      <c r="A476" s="517"/>
      <c r="B476" s="514"/>
      <c r="C476" s="4989" t="s">
        <v>568</v>
      </c>
      <c r="D476" s="4989"/>
      <c r="E476" s="2759">
        <f>SUM(E477,E480)</f>
        <v>200258</v>
      </c>
      <c r="F476" s="2603">
        <f>SUM(F477,F480)</f>
        <v>190258</v>
      </c>
      <c r="G476" s="2604">
        <f>SUM(G477,G480)</f>
        <v>92706.84</v>
      </c>
      <c r="H476" s="2793">
        <f t="shared" si="52"/>
        <v>0.48726907672739123</v>
      </c>
    </row>
    <row r="477" spans="1:10" ht="15" customHeight="1">
      <c r="A477" s="517"/>
      <c r="B477" s="514"/>
      <c r="C477" s="4990" t="s">
        <v>569</v>
      </c>
      <c r="D477" s="4990"/>
      <c r="E477" s="2760">
        <f>SUM(E478)</f>
        <v>2415</v>
      </c>
      <c r="F477" s="2605">
        <f>SUM(F478)</f>
        <v>2415</v>
      </c>
      <c r="G477" s="2606">
        <f>SUM(G478)</f>
        <v>0</v>
      </c>
      <c r="H477" s="2793">
        <f t="shared" si="52"/>
        <v>0</v>
      </c>
    </row>
    <row r="478" spans="1:10" ht="15" customHeight="1">
      <c r="A478" s="517"/>
      <c r="B478" s="514"/>
      <c r="C478" s="2761" t="s">
        <v>319</v>
      </c>
      <c r="D478" s="2762" t="s">
        <v>575</v>
      </c>
      <c r="E478" s="2759">
        <v>2415</v>
      </c>
      <c r="F478" s="2603">
        <v>2415</v>
      </c>
      <c r="G478" s="2604">
        <v>0</v>
      </c>
      <c r="H478" s="2793">
        <f t="shared" si="52"/>
        <v>0</v>
      </c>
      <c r="J478" s="444" t="s">
        <v>719</v>
      </c>
    </row>
    <row r="479" spans="1:10" ht="15" customHeight="1">
      <c r="A479" s="517"/>
      <c r="B479" s="514"/>
      <c r="C479" s="559"/>
      <c r="D479" s="559"/>
      <c r="E479" s="2759"/>
      <c r="F479" s="2603"/>
      <c r="G479" s="2604"/>
      <c r="H479" s="2793"/>
    </row>
    <row r="480" spans="1:10" ht="15" customHeight="1">
      <c r="A480" s="517"/>
      <c r="B480" s="514"/>
      <c r="C480" s="5000" t="s">
        <v>577</v>
      </c>
      <c r="D480" s="5000"/>
      <c r="E480" s="2760">
        <f>SUM(E481:E485)</f>
        <v>197843</v>
      </c>
      <c r="F480" s="2605">
        <f>SUM(F481:F485)</f>
        <v>187843</v>
      </c>
      <c r="G480" s="2606">
        <f>SUM(G481:G485)</f>
        <v>92706.84</v>
      </c>
      <c r="H480" s="2793">
        <f t="shared" ref="H480:H485" si="54">G480/F480</f>
        <v>0.49353364245673248</v>
      </c>
      <c r="J480" s="444" t="s">
        <v>719</v>
      </c>
    </row>
    <row r="481" spans="1:10" ht="15" customHeight="1">
      <c r="A481" s="517"/>
      <c r="B481" s="514"/>
      <c r="C481" s="2761" t="s">
        <v>313</v>
      </c>
      <c r="D481" s="2762" t="s">
        <v>579</v>
      </c>
      <c r="E481" s="2763">
        <v>56058</v>
      </c>
      <c r="F481" s="2763">
        <v>46007</v>
      </c>
      <c r="G481" s="2764">
        <v>15839.08</v>
      </c>
      <c r="H481" s="2793">
        <f t="shared" si="54"/>
        <v>0.34427543634664293</v>
      </c>
    </row>
    <row r="482" spans="1:10" ht="15" customHeight="1">
      <c r="A482" s="517"/>
      <c r="B482" s="514"/>
      <c r="C482" s="2761" t="s">
        <v>333</v>
      </c>
      <c r="D482" s="2762" t="s">
        <v>580</v>
      </c>
      <c r="E482" s="2763">
        <v>14451</v>
      </c>
      <c r="F482" s="2763">
        <v>14502</v>
      </c>
      <c r="G482" s="2764">
        <v>14130.85</v>
      </c>
      <c r="H482" s="2793">
        <f t="shared" si="54"/>
        <v>0.97440697834781409</v>
      </c>
    </row>
    <row r="483" spans="1:10" ht="15" customHeight="1">
      <c r="A483" s="517"/>
      <c r="B483" s="514"/>
      <c r="C483" s="2774" t="s">
        <v>330</v>
      </c>
      <c r="D483" s="2762" t="s">
        <v>582</v>
      </c>
      <c r="E483" s="2763">
        <v>4738</v>
      </c>
      <c r="F483" s="2763">
        <v>4738</v>
      </c>
      <c r="G483" s="2764">
        <v>310</v>
      </c>
      <c r="H483" s="2793">
        <f t="shared" si="54"/>
        <v>6.5428450823132117E-2</v>
      </c>
    </row>
    <row r="484" spans="1:10" ht="15" customHeight="1">
      <c r="A484" s="517"/>
      <c r="B484" s="514"/>
      <c r="C484" s="2761" t="s">
        <v>312</v>
      </c>
      <c r="D484" s="2762" t="s">
        <v>584</v>
      </c>
      <c r="E484" s="2763">
        <v>116555</v>
      </c>
      <c r="F484" s="2763">
        <v>116555</v>
      </c>
      <c r="G484" s="2764">
        <v>60336.03</v>
      </c>
      <c r="H484" s="2793">
        <f t="shared" si="54"/>
        <v>0.51766144738535458</v>
      </c>
    </row>
    <row r="485" spans="1:10" ht="15" customHeight="1">
      <c r="A485" s="517"/>
      <c r="B485" s="514"/>
      <c r="C485" s="2761" t="s">
        <v>328</v>
      </c>
      <c r="D485" s="2762" t="s">
        <v>585</v>
      </c>
      <c r="E485" s="2763">
        <v>6041</v>
      </c>
      <c r="F485" s="2763">
        <v>6041</v>
      </c>
      <c r="G485" s="2764">
        <v>2090.88</v>
      </c>
      <c r="H485" s="2793">
        <f t="shared" si="54"/>
        <v>0.34611488164211224</v>
      </c>
    </row>
    <row r="486" spans="1:10" ht="15" customHeight="1">
      <c r="A486" s="517"/>
      <c r="B486" s="514"/>
      <c r="C486" s="2794"/>
      <c r="D486" s="2776"/>
      <c r="E486" s="2759"/>
      <c r="F486" s="2603"/>
      <c r="G486" s="2610"/>
      <c r="H486" s="2793"/>
    </row>
    <row r="487" spans="1:10" ht="15" customHeight="1">
      <c r="A487" s="517"/>
      <c r="B487" s="514"/>
      <c r="C487" s="5001" t="s">
        <v>601</v>
      </c>
      <c r="D487" s="5001"/>
      <c r="E487" s="2795">
        <f>SUM(E488)</f>
        <v>1403276</v>
      </c>
      <c r="F487" s="2796">
        <f>SUM(F488)</f>
        <v>1425702</v>
      </c>
      <c r="G487" s="2797">
        <f>SUM(G488)</f>
        <v>1327924.33</v>
      </c>
      <c r="H487" s="2798">
        <f>G487/F487</f>
        <v>0.93141787694763711</v>
      </c>
    </row>
    <row r="488" spans="1:10" ht="15" customHeight="1" thickBot="1">
      <c r="A488" s="517"/>
      <c r="B488" s="514"/>
      <c r="C488" s="2777" t="s">
        <v>320</v>
      </c>
      <c r="D488" s="2778" t="s">
        <v>735</v>
      </c>
      <c r="E488" s="2759">
        <v>1403276</v>
      </c>
      <c r="F488" s="2603">
        <v>1425702</v>
      </c>
      <c r="G488" s="2604">
        <v>1327924.33</v>
      </c>
      <c r="H488" s="2798">
        <f>G488/F488</f>
        <v>0.93141787694763711</v>
      </c>
      <c r="J488" s="444" t="s">
        <v>719</v>
      </c>
    </row>
    <row r="489" spans="1:10" ht="15" customHeight="1" thickBot="1">
      <c r="A489" s="517"/>
      <c r="B489" s="2343" t="s">
        <v>736</v>
      </c>
      <c r="C489" s="2344"/>
      <c r="D489" s="2345" t="s">
        <v>135</v>
      </c>
      <c r="E489" s="2346">
        <f>SUM(E490,E573)</f>
        <v>193145136</v>
      </c>
      <c r="F489" s="2051">
        <f>SUM(F490,F573)</f>
        <v>200398877</v>
      </c>
      <c r="G489" s="2052">
        <f>SUM(G490,G573)</f>
        <v>185454732.69999999</v>
      </c>
      <c r="H489" s="2242">
        <f t="shared" ref="H489:H498" si="55">G489/F489</f>
        <v>0.92542800377069967</v>
      </c>
    </row>
    <row r="490" spans="1:10" ht="15" customHeight="1">
      <c r="A490" s="517"/>
      <c r="B490" s="514"/>
      <c r="C490" s="5002" t="s">
        <v>737</v>
      </c>
      <c r="D490" s="5002"/>
      <c r="E490" s="2799">
        <f>SUM(E491,E524,E528)</f>
        <v>188038536</v>
      </c>
      <c r="F490" s="2800">
        <f>SUM(F491,F524,F528)</f>
        <v>192886876</v>
      </c>
      <c r="G490" s="2801">
        <f>SUM(G491,G524,G528)</f>
        <v>179004227.28999999</v>
      </c>
      <c r="H490" s="2802">
        <f t="shared" si="55"/>
        <v>0.92802699178973691</v>
      </c>
    </row>
    <row r="491" spans="1:10" ht="15" customHeight="1">
      <c r="A491" s="517"/>
      <c r="B491" s="522"/>
      <c r="C491" s="4989" t="s">
        <v>568</v>
      </c>
      <c r="D491" s="4989"/>
      <c r="E491" s="2803">
        <f>SUM(E492,E500)</f>
        <v>136558303</v>
      </c>
      <c r="F491" s="2804">
        <f>SUM(F492,F500)</f>
        <v>137646055</v>
      </c>
      <c r="G491" s="2805">
        <f>SUM(G492,G500)</f>
        <v>125356406.80999999</v>
      </c>
      <c r="H491" s="2806">
        <f t="shared" si="55"/>
        <v>0.91071557997067176</v>
      </c>
    </row>
    <row r="492" spans="1:10" ht="15" customHeight="1">
      <c r="A492" s="517"/>
      <c r="B492" s="522"/>
      <c r="C492" s="4990" t="s">
        <v>569</v>
      </c>
      <c r="D492" s="4990"/>
      <c r="E492" s="2807">
        <f>SUM(E493:E498)</f>
        <v>110472291</v>
      </c>
      <c r="F492" s="2808">
        <f>SUM(F493:F498)</f>
        <v>111655947</v>
      </c>
      <c r="G492" s="2809">
        <f>SUM(G493:G498)</f>
        <v>108387722.13</v>
      </c>
      <c r="H492" s="2806">
        <f t="shared" si="55"/>
        <v>0.97072950471684227</v>
      </c>
      <c r="J492" s="444" t="s">
        <v>738</v>
      </c>
    </row>
    <row r="493" spans="1:10" ht="15" customHeight="1">
      <c r="A493" s="517"/>
      <c r="B493" s="522"/>
      <c r="C493" s="2761" t="s">
        <v>337</v>
      </c>
      <c r="D493" s="2762" t="s">
        <v>571</v>
      </c>
      <c r="E493" s="2780">
        <f>66383575+503680+19735785</f>
        <v>86623040</v>
      </c>
      <c r="F493" s="2780">
        <v>88126000</v>
      </c>
      <c r="G493" s="2781">
        <v>86230671.090000004</v>
      </c>
      <c r="H493" s="2806">
        <f t="shared" si="55"/>
        <v>0.97849296564010624</v>
      </c>
    </row>
    <row r="494" spans="1:10" ht="15" customHeight="1">
      <c r="A494" s="517"/>
      <c r="B494" s="522"/>
      <c r="C494" s="2782" t="s">
        <v>336</v>
      </c>
      <c r="D494" s="2762" t="s">
        <v>572</v>
      </c>
      <c r="E494" s="2780">
        <f>4605016+50570+1386077</f>
        <v>6041663</v>
      </c>
      <c r="F494" s="2780">
        <v>5088776</v>
      </c>
      <c r="G494" s="2781">
        <v>5088759.5599999996</v>
      </c>
      <c r="H494" s="2806">
        <f t="shared" si="55"/>
        <v>0.99999676936064774</v>
      </c>
    </row>
    <row r="495" spans="1:10" ht="15" customHeight="1">
      <c r="A495" s="517"/>
      <c r="B495" s="522"/>
      <c r="C495" s="2782" t="s">
        <v>315</v>
      </c>
      <c r="D495" s="2762" t="s">
        <v>573</v>
      </c>
      <c r="E495" s="2780">
        <f>11439833+94340+3522956</f>
        <v>15057129</v>
      </c>
      <c r="F495" s="2780">
        <v>15394257</v>
      </c>
      <c r="G495" s="2781">
        <v>14818541.25</v>
      </c>
      <c r="H495" s="2806">
        <f t="shared" si="55"/>
        <v>0.96260191381760096</v>
      </c>
    </row>
    <row r="496" spans="1:10" ht="15" customHeight="1">
      <c r="A496" s="517"/>
      <c r="B496" s="522"/>
      <c r="C496" s="2783" t="s">
        <v>314</v>
      </c>
      <c r="D496" s="2784" t="s">
        <v>574</v>
      </c>
      <c r="E496" s="2780">
        <f>1915784+6728+497765</f>
        <v>2420277</v>
      </c>
      <c r="F496" s="2780">
        <v>2369302</v>
      </c>
      <c r="G496" s="2781">
        <v>1702107.96</v>
      </c>
      <c r="H496" s="2806">
        <f t="shared" si="55"/>
        <v>0.71840059224193453</v>
      </c>
    </row>
    <row r="497" spans="1:10" ht="15" customHeight="1">
      <c r="A497" s="522"/>
      <c r="B497" s="522"/>
      <c r="C497" s="2810" t="s">
        <v>319</v>
      </c>
      <c r="D497" s="2811" t="s">
        <v>575</v>
      </c>
      <c r="E497" s="2780">
        <f>51000+20000+20000</f>
        <v>91000</v>
      </c>
      <c r="F497" s="2780">
        <v>281100</v>
      </c>
      <c r="G497" s="2781">
        <v>211752.53</v>
      </c>
      <c r="H497" s="2806">
        <f t="shared" si="55"/>
        <v>0.75329964425471363</v>
      </c>
    </row>
    <row r="498" spans="1:10" ht="15" customHeight="1">
      <c r="A498" s="517"/>
      <c r="B498" s="522"/>
      <c r="C498" s="2782" t="s">
        <v>335</v>
      </c>
      <c r="D498" s="2762" t="s">
        <v>576</v>
      </c>
      <c r="E498" s="2780">
        <f>150000+11070+78112</f>
        <v>239182</v>
      </c>
      <c r="F498" s="2780">
        <v>396512</v>
      </c>
      <c r="G498" s="2781">
        <v>335889.74</v>
      </c>
      <c r="H498" s="2806">
        <f t="shared" si="55"/>
        <v>0.84711115930917602</v>
      </c>
    </row>
    <row r="499" spans="1:10" ht="15" customHeight="1">
      <c r="A499" s="522"/>
      <c r="B499" s="522"/>
      <c r="C499" s="2812"/>
      <c r="D499" s="2786"/>
      <c r="E499" s="2609"/>
      <c r="F499" s="2603"/>
      <c r="G499" s="2604"/>
      <c r="H499" s="2806"/>
    </row>
    <row r="500" spans="1:10" ht="15" customHeight="1">
      <c r="A500" s="522"/>
      <c r="B500" s="522"/>
      <c r="C500" s="4993" t="s">
        <v>577</v>
      </c>
      <c r="D500" s="4994"/>
      <c r="E500" s="2813">
        <f>SUM(E501:E522)</f>
        <v>26086012</v>
      </c>
      <c r="F500" s="2814">
        <f>SUM(F501:F522)</f>
        <v>25990108</v>
      </c>
      <c r="G500" s="2815">
        <f>SUM(G501:G522)</f>
        <v>16968684.679999996</v>
      </c>
      <c r="H500" s="2806">
        <f t="shared" ref="H500:H522" si="56">G500/F500</f>
        <v>0.65289011804029429</v>
      </c>
    </row>
    <row r="501" spans="1:10" ht="15" customHeight="1">
      <c r="A501" s="517"/>
      <c r="B501" s="522"/>
      <c r="C501" s="2787" t="s">
        <v>363</v>
      </c>
      <c r="D501" s="2762" t="s">
        <v>578</v>
      </c>
      <c r="E501" s="2759">
        <f>504900+240000</f>
        <v>744900</v>
      </c>
      <c r="F501" s="2603">
        <v>799900</v>
      </c>
      <c r="G501" s="2604">
        <v>294761</v>
      </c>
      <c r="H501" s="2806">
        <f t="shared" si="56"/>
        <v>0.36849731216402049</v>
      </c>
      <c r="J501" s="444" t="s">
        <v>739</v>
      </c>
    </row>
    <row r="502" spans="1:10" s="506" customFormat="1" ht="15" customHeight="1">
      <c r="A502" s="512"/>
      <c r="B502" s="514"/>
      <c r="C502" s="2761" t="s">
        <v>313</v>
      </c>
      <c r="D502" s="2762" t="s">
        <v>579</v>
      </c>
      <c r="E502" s="2759">
        <f>65000+4622000+64740+921500</f>
        <v>5673240</v>
      </c>
      <c r="F502" s="2603">
        <v>5868440</v>
      </c>
      <c r="G502" s="2604">
        <v>4348750.9800000004</v>
      </c>
      <c r="H502" s="2806">
        <f t="shared" si="56"/>
        <v>0.74104037529564937</v>
      </c>
      <c r="J502" s="444" t="s">
        <v>740</v>
      </c>
    </row>
    <row r="503" spans="1:10" s="506" customFormat="1" ht="15" customHeight="1">
      <c r="A503" s="512"/>
      <c r="B503" s="514"/>
      <c r="C503" s="2761" t="s">
        <v>333</v>
      </c>
      <c r="D503" s="2762" t="s">
        <v>580</v>
      </c>
      <c r="E503" s="2759">
        <f>81600+500+32000</f>
        <v>114100</v>
      </c>
      <c r="F503" s="2603">
        <v>114100</v>
      </c>
      <c r="G503" s="2604">
        <v>73193.06</v>
      </c>
      <c r="H503" s="2806">
        <f t="shared" si="56"/>
        <v>0.6414816827344435</v>
      </c>
      <c r="J503" s="444" t="s">
        <v>738</v>
      </c>
    </row>
    <row r="504" spans="1:10" s="506" customFormat="1" ht="15" customHeight="1">
      <c r="A504" s="512"/>
      <c r="B504" s="514"/>
      <c r="C504" s="2783" t="s">
        <v>331</v>
      </c>
      <c r="D504" s="2784" t="s">
        <v>581</v>
      </c>
      <c r="E504" s="2759">
        <f>6897800+59800+935773</f>
        <v>7893373</v>
      </c>
      <c r="F504" s="2603">
        <v>6729073</v>
      </c>
      <c r="G504" s="2604">
        <v>3068243.18</v>
      </c>
      <c r="H504" s="2806">
        <f t="shared" si="56"/>
        <v>0.45596818164998359</v>
      </c>
      <c r="J504" s="444" t="s">
        <v>738</v>
      </c>
    </row>
    <row r="505" spans="1:10" s="506" customFormat="1" ht="15" customHeight="1">
      <c r="A505" s="514"/>
      <c r="B505" s="514"/>
      <c r="C505" s="2810" t="s">
        <v>330</v>
      </c>
      <c r="D505" s="2811" t="s">
        <v>582</v>
      </c>
      <c r="E505" s="2816">
        <f>1308900+6540+746500</f>
        <v>2061940</v>
      </c>
      <c r="F505" s="2817">
        <v>1683840</v>
      </c>
      <c r="G505" s="2818">
        <v>1125323.79</v>
      </c>
      <c r="H505" s="2819">
        <f t="shared" si="56"/>
        <v>0.66830802807867729</v>
      </c>
      <c r="J505" s="444" t="s">
        <v>738</v>
      </c>
    </row>
    <row r="506" spans="1:10" s="506" customFormat="1" ht="15" customHeight="1" thickBot="1">
      <c r="A506" s="593"/>
      <c r="B506" s="565"/>
      <c r="C506" s="2765" t="s">
        <v>329</v>
      </c>
      <c r="D506" s="2788" t="s">
        <v>583</v>
      </c>
      <c r="E506" s="567">
        <f>81200+1000+63300</f>
        <v>145500</v>
      </c>
      <c r="F506" s="503">
        <v>209060</v>
      </c>
      <c r="G506" s="702">
        <v>140841.70000000001</v>
      </c>
      <c r="H506" s="2245">
        <f t="shared" si="56"/>
        <v>0.67369032813546359</v>
      </c>
      <c r="J506" s="444" t="s">
        <v>738</v>
      </c>
    </row>
    <row r="507" spans="1:10" s="506" customFormat="1" ht="15" customHeight="1">
      <c r="A507" s="507"/>
      <c r="B507" s="2487"/>
      <c r="C507" s="2824" t="s">
        <v>312</v>
      </c>
      <c r="D507" s="2825" t="s">
        <v>584</v>
      </c>
      <c r="E507" s="2826">
        <f>45000+2650834+81240+1425000+690000</f>
        <v>4892074</v>
      </c>
      <c r="F507" s="2292">
        <v>5044418</v>
      </c>
      <c r="G507" s="2435">
        <v>3410919.2</v>
      </c>
      <c r="H507" s="2063">
        <f t="shared" si="56"/>
        <v>0.67617695440782266</v>
      </c>
      <c r="J507" s="444" t="s">
        <v>741</v>
      </c>
    </row>
    <row r="508" spans="1:10" s="506" customFormat="1" ht="15" customHeight="1">
      <c r="A508" s="512"/>
      <c r="B508" s="514"/>
      <c r="C508" s="2770" t="s">
        <v>328</v>
      </c>
      <c r="D508" s="2771" t="s">
        <v>585</v>
      </c>
      <c r="E508" s="2759">
        <f>225000+1150+75500</f>
        <v>301650</v>
      </c>
      <c r="F508" s="2603">
        <v>301400</v>
      </c>
      <c r="G508" s="2604">
        <v>126366.78</v>
      </c>
      <c r="H508" s="2819">
        <f t="shared" si="56"/>
        <v>0.41926602521566025</v>
      </c>
      <c r="J508" s="444" t="s">
        <v>738</v>
      </c>
    </row>
    <row r="509" spans="1:10" s="506" customFormat="1" ht="15" customHeight="1">
      <c r="A509" s="512"/>
      <c r="B509" s="514"/>
      <c r="C509" s="2820" t="s">
        <v>683</v>
      </c>
      <c r="D509" s="2821" t="s">
        <v>742</v>
      </c>
      <c r="E509" s="2759">
        <v>10200</v>
      </c>
      <c r="F509" s="2603">
        <v>10200</v>
      </c>
      <c r="G509" s="2604">
        <v>117.79</v>
      </c>
      <c r="H509" s="2819">
        <f t="shared" si="56"/>
        <v>1.1548039215686276E-2</v>
      </c>
      <c r="J509" s="444" t="s">
        <v>645</v>
      </c>
    </row>
    <row r="510" spans="1:10" s="506" customFormat="1" ht="15" customHeight="1">
      <c r="A510" s="512"/>
      <c r="B510" s="514"/>
      <c r="C510" s="2761" t="s">
        <v>327</v>
      </c>
      <c r="D510" s="2762" t="s">
        <v>586</v>
      </c>
      <c r="E510" s="2759">
        <f>61200+30000</f>
        <v>91200</v>
      </c>
      <c r="F510" s="2603">
        <v>91200</v>
      </c>
      <c r="G510" s="2604">
        <v>19335.599999999999</v>
      </c>
      <c r="H510" s="2819">
        <f t="shared" si="56"/>
        <v>0.21201315789473682</v>
      </c>
      <c r="J510" s="444" t="s">
        <v>739</v>
      </c>
    </row>
    <row r="511" spans="1:10" s="506" customFormat="1" ht="27.75" customHeight="1">
      <c r="A511" s="512"/>
      <c r="B511" s="514"/>
      <c r="C511" s="2761" t="s">
        <v>587</v>
      </c>
      <c r="D511" s="2762" t="s">
        <v>588</v>
      </c>
      <c r="E511" s="2603">
        <v>0</v>
      </c>
      <c r="F511" s="2603">
        <v>12000</v>
      </c>
      <c r="G511" s="2604">
        <v>12000</v>
      </c>
      <c r="H511" s="2819">
        <f t="shared" si="56"/>
        <v>1</v>
      </c>
      <c r="J511" s="444"/>
    </row>
    <row r="512" spans="1:10" s="506" customFormat="1" ht="15" customHeight="1">
      <c r="A512" s="512"/>
      <c r="B512" s="514"/>
      <c r="C512" s="2761" t="s">
        <v>326</v>
      </c>
      <c r="D512" s="2762" t="s">
        <v>589</v>
      </c>
      <c r="E512" s="2759">
        <f>153000+2700+20000</f>
        <v>175700</v>
      </c>
      <c r="F512" s="2603">
        <v>292700</v>
      </c>
      <c r="G512" s="2604">
        <v>219648.86</v>
      </c>
      <c r="H512" s="2819">
        <f t="shared" si="56"/>
        <v>0.75042316364878714</v>
      </c>
      <c r="J512" s="444" t="s">
        <v>738</v>
      </c>
    </row>
    <row r="513" spans="1:10" s="506" customFormat="1" ht="15" customHeight="1">
      <c r="A513" s="512"/>
      <c r="B513" s="514"/>
      <c r="C513" s="2761" t="s">
        <v>590</v>
      </c>
      <c r="D513" s="2762" t="s">
        <v>591</v>
      </c>
      <c r="E513" s="2759">
        <f>255000+20000</f>
        <v>275000</v>
      </c>
      <c r="F513" s="2603">
        <v>530000</v>
      </c>
      <c r="G513" s="2604">
        <v>436774.96</v>
      </c>
      <c r="H513" s="2819">
        <f t="shared" si="56"/>
        <v>0.82410369811320761</v>
      </c>
      <c r="J513" s="444" t="s">
        <v>739</v>
      </c>
    </row>
    <row r="514" spans="1:10" s="506" customFormat="1" ht="15" customHeight="1">
      <c r="A514" s="512"/>
      <c r="B514" s="514"/>
      <c r="C514" s="2783" t="s">
        <v>325</v>
      </c>
      <c r="D514" s="2784" t="s">
        <v>592</v>
      </c>
      <c r="E514" s="2759">
        <f>231000+2200+214000</f>
        <v>447200</v>
      </c>
      <c r="F514" s="2603">
        <v>446443</v>
      </c>
      <c r="G514" s="2604">
        <v>204198.64</v>
      </c>
      <c r="H514" s="2819">
        <f t="shared" si="56"/>
        <v>0.45739017074968141</v>
      </c>
      <c r="J514" s="444" t="s">
        <v>738</v>
      </c>
    </row>
    <row r="515" spans="1:10" s="506" customFormat="1" ht="15" customHeight="1">
      <c r="A515" s="512"/>
      <c r="B515" s="514"/>
      <c r="C515" s="2820" t="s">
        <v>324</v>
      </c>
      <c r="D515" s="2821" t="s">
        <v>593</v>
      </c>
      <c r="E515" s="2772">
        <f>1913822+14136+455377</f>
        <v>2383335</v>
      </c>
      <c r="F515" s="2729">
        <v>2684403</v>
      </c>
      <c r="G515" s="2730">
        <v>2575552.63</v>
      </c>
      <c r="H515" s="2819">
        <f t="shared" si="56"/>
        <v>0.95945080898806923</v>
      </c>
      <c r="J515" s="444" t="s">
        <v>738</v>
      </c>
    </row>
    <row r="516" spans="1:10" s="506" customFormat="1" ht="15" customHeight="1">
      <c r="A516" s="512"/>
      <c r="B516" s="514"/>
      <c r="C516" s="2761" t="s">
        <v>323</v>
      </c>
      <c r="D516" s="2762" t="s">
        <v>594</v>
      </c>
      <c r="E516" s="2759">
        <f>2200+43000</f>
        <v>45200</v>
      </c>
      <c r="F516" s="2603">
        <v>45369</v>
      </c>
      <c r="G516" s="2604">
        <v>34894</v>
      </c>
      <c r="H516" s="2819">
        <f t="shared" si="56"/>
        <v>0.76911547532456082</v>
      </c>
      <c r="J516" s="444" t="s">
        <v>743</v>
      </c>
    </row>
    <row r="517" spans="1:10" s="506" customFormat="1" ht="15" customHeight="1">
      <c r="A517" s="512"/>
      <c r="B517" s="514"/>
      <c r="C517" s="2761" t="s">
        <v>405</v>
      </c>
      <c r="D517" s="2778" t="s">
        <v>685</v>
      </c>
      <c r="E517" s="2759">
        <v>2000</v>
      </c>
      <c r="F517" s="2603">
        <v>2000</v>
      </c>
      <c r="G517" s="2604">
        <v>0</v>
      </c>
      <c r="H517" s="2819">
        <f t="shared" si="56"/>
        <v>0</v>
      </c>
      <c r="J517" s="444" t="s">
        <v>663</v>
      </c>
    </row>
    <row r="518" spans="1:10" s="506" customFormat="1" ht="15" customHeight="1">
      <c r="A518" s="512"/>
      <c r="B518" s="514"/>
      <c r="C518" s="2761" t="s">
        <v>595</v>
      </c>
      <c r="D518" s="2762" t="s">
        <v>596</v>
      </c>
      <c r="E518" s="2603">
        <f>10200+500</f>
        <v>10700</v>
      </c>
      <c r="F518" s="2603">
        <v>10700</v>
      </c>
      <c r="G518" s="2604">
        <v>1864</v>
      </c>
      <c r="H518" s="2819">
        <f t="shared" si="56"/>
        <v>0.17420560747663552</v>
      </c>
      <c r="J518" s="444" t="s">
        <v>739</v>
      </c>
    </row>
    <row r="519" spans="1:10" s="506" customFormat="1" ht="15" customHeight="1">
      <c r="A519" s="512"/>
      <c r="B519" s="514"/>
      <c r="C519" s="2761" t="s">
        <v>362</v>
      </c>
      <c r="D519" s="2762" t="s">
        <v>597</v>
      </c>
      <c r="E519" s="2759">
        <f>230000+70200</f>
        <v>300200</v>
      </c>
      <c r="F519" s="2603">
        <v>300200</v>
      </c>
      <c r="G519" s="2604">
        <v>203690.87</v>
      </c>
      <c r="H519" s="2819">
        <f t="shared" si="56"/>
        <v>0.67851722185209862</v>
      </c>
      <c r="J519" s="444" t="s">
        <v>739</v>
      </c>
    </row>
    <row r="520" spans="1:10" s="506" customFormat="1" ht="15" customHeight="1">
      <c r="A520" s="512"/>
      <c r="B520" s="514"/>
      <c r="C520" s="2777" t="s">
        <v>598</v>
      </c>
      <c r="D520" s="2778" t="s">
        <v>599</v>
      </c>
      <c r="E520" s="2759">
        <v>102000</v>
      </c>
      <c r="F520" s="2603">
        <v>102000</v>
      </c>
      <c r="G520" s="2604">
        <v>3760.62</v>
      </c>
      <c r="H520" s="2819">
        <f t="shared" si="56"/>
        <v>3.6868823529411766E-2</v>
      </c>
      <c r="J520" s="444" t="s">
        <v>645</v>
      </c>
    </row>
    <row r="521" spans="1:10" s="506" customFormat="1" ht="15" customHeight="1">
      <c r="A521" s="512"/>
      <c r="B521" s="514"/>
      <c r="C521" s="2777" t="s">
        <v>647</v>
      </c>
      <c r="D521" s="2778" t="s">
        <v>648</v>
      </c>
      <c r="E521" s="2759">
        <f>102000+500</f>
        <v>102500</v>
      </c>
      <c r="F521" s="2603">
        <v>223662</v>
      </c>
      <c r="G521" s="2604">
        <v>211310.61</v>
      </c>
      <c r="H521" s="2819">
        <f t="shared" si="56"/>
        <v>0.94477653781151916</v>
      </c>
      <c r="J521" s="444" t="s">
        <v>739</v>
      </c>
    </row>
    <row r="522" spans="1:10" s="506" customFormat="1" ht="15" customHeight="1">
      <c r="A522" s="512"/>
      <c r="B522" s="514"/>
      <c r="C522" s="2787" t="s">
        <v>322</v>
      </c>
      <c r="D522" s="2827" t="s">
        <v>600</v>
      </c>
      <c r="E522" s="2759">
        <f>204000+10000+100000</f>
        <v>314000</v>
      </c>
      <c r="F522" s="2603">
        <v>489000</v>
      </c>
      <c r="G522" s="2604">
        <v>457136.41</v>
      </c>
      <c r="H522" s="2819">
        <f t="shared" si="56"/>
        <v>0.93483928425357865</v>
      </c>
      <c r="J522" s="444" t="s">
        <v>738</v>
      </c>
    </row>
    <row r="523" spans="1:10" ht="15" customHeight="1">
      <c r="A523" s="517"/>
      <c r="B523" s="522"/>
      <c r="C523" s="561"/>
      <c r="D523" s="561"/>
      <c r="E523" s="2609"/>
      <c r="F523" s="2603"/>
      <c r="G523" s="2604"/>
      <c r="H523" s="2819"/>
    </row>
    <row r="524" spans="1:10" ht="15" customHeight="1">
      <c r="A524" s="517"/>
      <c r="B524" s="522"/>
      <c r="C524" s="4995" t="s">
        <v>601</v>
      </c>
      <c r="D524" s="4995"/>
      <c r="E524" s="2603">
        <f>SUM(E525:E526)</f>
        <v>568800</v>
      </c>
      <c r="F524" s="2603">
        <f>SUM(F525:F526)</f>
        <v>583866</v>
      </c>
      <c r="G524" s="2604">
        <f>SUM(G525:G526)</f>
        <v>465251.72</v>
      </c>
      <c r="H524" s="2819">
        <f>G524/F524</f>
        <v>0.7968467422319504</v>
      </c>
    </row>
    <row r="525" spans="1:10" ht="15" customHeight="1">
      <c r="A525" s="517"/>
      <c r="B525" s="522"/>
      <c r="C525" s="2820" t="s">
        <v>321</v>
      </c>
      <c r="D525" s="2821" t="s">
        <v>602</v>
      </c>
      <c r="E525" s="2759">
        <f>142800+1000+425000</f>
        <v>568800</v>
      </c>
      <c r="F525" s="2603">
        <v>583800</v>
      </c>
      <c r="G525" s="2604">
        <v>465185.92</v>
      </c>
      <c r="H525" s="2819">
        <f>G525/F525</f>
        <v>0.79682411784857821</v>
      </c>
      <c r="J525" s="444" t="s">
        <v>738</v>
      </c>
    </row>
    <row r="526" spans="1:10" ht="15" customHeight="1">
      <c r="A526" s="517"/>
      <c r="B526" s="522"/>
      <c r="C526" s="2828" t="s">
        <v>320</v>
      </c>
      <c r="D526" s="2829" t="s">
        <v>744</v>
      </c>
      <c r="E526" s="2759">
        <v>0</v>
      </c>
      <c r="F526" s="2603">
        <v>66</v>
      </c>
      <c r="G526" s="2604">
        <v>65.8</v>
      </c>
      <c r="H526" s="2819">
        <f>G526/F526</f>
        <v>0.99696969696969695</v>
      </c>
    </row>
    <row r="527" spans="1:10" ht="15" customHeight="1">
      <c r="A527" s="517"/>
      <c r="B527" s="522"/>
      <c r="C527" s="2785"/>
      <c r="D527" s="2830"/>
      <c r="E527" s="2609"/>
      <c r="F527" s="2603"/>
      <c r="G527" s="2604"/>
      <c r="H527" s="2819"/>
    </row>
    <row r="528" spans="1:10" s="506" customFormat="1" ht="15" customHeight="1">
      <c r="A528" s="512"/>
      <c r="B528" s="514"/>
      <c r="C528" s="4996" t="s">
        <v>608</v>
      </c>
      <c r="D528" s="4997"/>
      <c r="E528" s="2772">
        <f>SUM(E529:E571)</f>
        <v>50911433</v>
      </c>
      <c r="F528" s="2729">
        <f>SUM(F529:F571)</f>
        <v>54656955</v>
      </c>
      <c r="G528" s="2730">
        <f>SUM(G529:G571)</f>
        <v>53182568.759999998</v>
      </c>
      <c r="H528" s="2819">
        <f t="shared" ref="H528:H571" si="57">G528/F528</f>
        <v>0.97302472777709625</v>
      </c>
      <c r="J528" s="444" t="s">
        <v>645</v>
      </c>
    </row>
    <row r="529" spans="1:10" s="506" customFormat="1" ht="15" customHeight="1">
      <c r="A529" s="512"/>
      <c r="B529" s="514"/>
      <c r="C529" s="2831" t="s">
        <v>745</v>
      </c>
      <c r="D529" s="2832" t="s">
        <v>656</v>
      </c>
      <c r="E529" s="2772">
        <v>0</v>
      </c>
      <c r="F529" s="2729">
        <v>46</v>
      </c>
      <c r="G529" s="2730">
        <v>45.97</v>
      </c>
      <c r="H529" s="2819">
        <f t="shared" si="57"/>
        <v>0.99934782608695649</v>
      </c>
      <c r="J529" s="444"/>
    </row>
    <row r="530" spans="1:10" s="506" customFormat="1" ht="15" customHeight="1">
      <c r="A530" s="512"/>
      <c r="B530" s="514"/>
      <c r="C530" s="2833" t="s">
        <v>746</v>
      </c>
      <c r="D530" s="2821" t="s">
        <v>602</v>
      </c>
      <c r="E530" s="2834">
        <v>25500</v>
      </c>
      <c r="F530" s="2834">
        <v>38250</v>
      </c>
      <c r="G530" s="2835">
        <v>33963.949999999997</v>
      </c>
      <c r="H530" s="2819">
        <f t="shared" si="57"/>
        <v>0.88794640522875812</v>
      </c>
      <c r="J530" s="444"/>
    </row>
    <row r="531" spans="1:10" s="506" customFormat="1" ht="15" customHeight="1">
      <c r="A531" s="512"/>
      <c r="B531" s="514"/>
      <c r="C531" s="2836" t="s">
        <v>747</v>
      </c>
      <c r="D531" s="562" t="s">
        <v>602</v>
      </c>
      <c r="E531" s="2834">
        <v>4500</v>
      </c>
      <c r="F531" s="2834">
        <v>6750</v>
      </c>
      <c r="G531" s="2835">
        <v>5993.65</v>
      </c>
      <c r="H531" s="2819">
        <f t="shared" si="57"/>
        <v>0.88794814814814804</v>
      </c>
      <c r="J531" s="444"/>
    </row>
    <row r="532" spans="1:10" s="506" customFormat="1" ht="15" customHeight="1">
      <c r="A532" s="514"/>
      <c r="B532" s="514"/>
      <c r="C532" s="2831" t="s">
        <v>748</v>
      </c>
      <c r="D532" s="2827" t="s">
        <v>744</v>
      </c>
      <c r="E532" s="2834">
        <v>20400</v>
      </c>
      <c r="F532" s="2834">
        <v>6341</v>
      </c>
      <c r="G532" s="2835">
        <v>4420.71</v>
      </c>
      <c r="H532" s="2819">
        <f t="shared" si="57"/>
        <v>0.69716290805866588</v>
      </c>
      <c r="J532" s="444"/>
    </row>
    <row r="533" spans="1:10" s="506" customFormat="1" ht="15" customHeight="1">
      <c r="A533" s="512"/>
      <c r="B533" s="514"/>
      <c r="C533" s="2837" t="s">
        <v>749</v>
      </c>
      <c r="D533" s="2838" t="s">
        <v>744</v>
      </c>
      <c r="E533" s="2834">
        <v>3600</v>
      </c>
      <c r="F533" s="2834">
        <v>1119</v>
      </c>
      <c r="G533" s="2835">
        <v>780.24</v>
      </c>
      <c r="H533" s="2819">
        <f t="shared" si="57"/>
        <v>0.69726541554959787</v>
      </c>
      <c r="J533" s="444"/>
    </row>
    <row r="534" spans="1:10" s="506" customFormat="1" ht="15" customHeight="1">
      <c r="A534" s="514"/>
      <c r="B534" s="514"/>
      <c r="C534" s="2820" t="s">
        <v>613</v>
      </c>
      <c r="D534" s="2821" t="s">
        <v>571</v>
      </c>
      <c r="E534" s="2834">
        <v>25927397</v>
      </c>
      <c r="F534" s="2834">
        <v>30844953</v>
      </c>
      <c r="G534" s="2835">
        <v>30343921.09</v>
      </c>
      <c r="H534" s="2819">
        <f t="shared" si="57"/>
        <v>0.98375643788466782</v>
      </c>
      <c r="J534" s="444"/>
    </row>
    <row r="535" spans="1:10" s="506" customFormat="1" ht="15" customHeight="1">
      <c r="A535" s="512"/>
      <c r="B535" s="514"/>
      <c r="C535" s="2761" t="s">
        <v>614</v>
      </c>
      <c r="D535" s="2762" t="s">
        <v>571</v>
      </c>
      <c r="E535" s="2834">
        <v>4575423</v>
      </c>
      <c r="F535" s="2834">
        <v>5443226</v>
      </c>
      <c r="G535" s="2835">
        <v>5354813.3600000003</v>
      </c>
      <c r="H535" s="2819">
        <f t="shared" si="57"/>
        <v>0.98375730862543653</v>
      </c>
      <c r="J535" s="444"/>
    </row>
    <row r="536" spans="1:10" s="506" customFormat="1" ht="15" customHeight="1">
      <c r="A536" s="512"/>
      <c r="B536" s="514"/>
      <c r="C536" s="2782" t="s">
        <v>615</v>
      </c>
      <c r="D536" s="2762" t="s">
        <v>572</v>
      </c>
      <c r="E536" s="2834">
        <v>1658928</v>
      </c>
      <c r="F536" s="2834">
        <v>1593625</v>
      </c>
      <c r="G536" s="2835">
        <v>1593624.48</v>
      </c>
      <c r="H536" s="2819">
        <f t="shared" si="57"/>
        <v>0.99999967369989806</v>
      </c>
      <c r="J536" s="444"/>
    </row>
    <row r="537" spans="1:10" s="506" customFormat="1" ht="15" customHeight="1">
      <c r="A537" s="512"/>
      <c r="B537" s="514"/>
      <c r="C537" s="2783" t="s">
        <v>616</v>
      </c>
      <c r="D537" s="2784" t="s">
        <v>572</v>
      </c>
      <c r="E537" s="2834">
        <v>292752</v>
      </c>
      <c r="F537" s="2834">
        <v>281228</v>
      </c>
      <c r="G537" s="2835">
        <v>281227.89</v>
      </c>
      <c r="H537" s="2819">
        <f t="shared" si="57"/>
        <v>0.99999960885829298</v>
      </c>
      <c r="J537" s="444"/>
    </row>
    <row r="538" spans="1:10" s="506" customFormat="1" ht="15" customHeight="1" thickBot="1">
      <c r="A538" s="565"/>
      <c r="B538" s="565"/>
      <c r="C538" s="645" t="s">
        <v>617</v>
      </c>
      <c r="D538" s="2839" t="s">
        <v>573</v>
      </c>
      <c r="E538" s="2840">
        <v>4772342</v>
      </c>
      <c r="F538" s="2840">
        <v>5573414</v>
      </c>
      <c r="G538" s="2841">
        <v>5394956.75</v>
      </c>
      <c r="H538" s="2245">
        <f t="shared" si="57"/>
        <v>0.96798062193118972</v>
      </c>
      <c r="J538" s="444"/>
    </row>
    <row r="539" spans="1:10" s="506" customFormat="1" ht="15" customHeight="1">
      <c r="A539" s="507"/>
      <c r="B539" s="2487"/>
      <c r="C539" s="2844" t="s">
        <v>618</v>
      </c>
      <c r="D539" s="2845" t="s">
        <v>573</v>
      </c>
      <c r="E539" s="2846">
        <v>842178</v>
      </c>
      <c r="F539" s="2846">
        <v>983542</v>
      </c>
      <c r="G539" s="2847">
        <v>952061.03</v>
      </c>
      <c r="H539" s="2848">
        <f t="shared" si="57"/>
        <v>0.96799224639110482</v>
      </c>
      <c r="J539" s="444"/>
    </row>
    <row r="540" spans="1:10" s="506" customFormat="1" ht="15" customHeight="1">
      <c r="A540" s="512"/>
      <c r="B540" s="514"/>
      <c r="C540" s="2849" t="s">
        <v>619</v>
      </c>
      <c r="D540" s="2850" t="s">
        <v>574</v>
      </c>
      <c r="E540" s="2851">
        <v>679949</v>
      </c>
      <c r="F540" s="2851">
        <v>761264</v>
      </c>
      <c r="G540" s="2852">
        <v>647026.9</v>
      </c>
      <c r="H540" s="2819">
        <f t="shared" si="57"/>
        <v>0.84993760377477456</v>
      </c>
      <c r="J540" s="444"/>
    </row>
    <row r="541" spans="1:10" s="506" customFormat="1" ht="15" customHeight="1">
      <c r="A541" s="512"/>
      <c r="B541" s="514"/>
      <c r="C541" s="2849" t="s">
        <v>620</v>
      </c>
      <c r="D541" s="2850" t="s">
        <v>574</v>
      </c>
      <c r="E541" s="2851">
        <v>119991</v>
      </c>
      <c r="F541" s="2851">
        <v>134342</v>
      </c>
      <c r="G541" s="2852">
        <v>114186.66</v>
      </c>
      <c r="H541" s="2819">
        <f t="shared" si="57"/>
        <v>0.84996992749847411</v>
      </c>
      <c r="J541" s="444"/>
    </row>
    <row r="542" spans="1:10" s="506" customFormat="1" ht="15" customHeight="1">
      <c r="A542" s="512"/>
      <c r="B542" s="514"/>
      <c r="C542" s="2849" t="s">
        <v>621</v>
      </c>
      <c r="D542" s="2850" t="s">
        <v>575</v>
      </c>
      <c r="E542" s="2851">
        <f>1190850+38250+17000+34000</f>
        <v>1280100</v>
      </c>
      <c r="F542" s="2851">
        <v>212670</v>
      </c>
      <c r="G542" s="2852">
        <v>75930.5</v>
      </c>
      <c r="H542" s="2819">
        <f t="shared" si="57"/>
        <v>0.35703437250199838</v>
      </c>
      <c r="J542" s="444" t="s">
        <v>750</v>
      </c>
    </row>
    <row r="543" spans="1:10" s="506" customFormat="1" ht="15" customHeight="1">
      <c r="A543" s="512"/>
      <c r="B543" s="514"/>
      <c r="C543" s="2849" t="s">
        <v>622</v>
      </c>
      <c r="D543" s="2850" t="s">
        <v>575</v>
      </c>
      <c r="E543" s="2851">
        <f>210150+6750+3000+6000</f>
        <v>225900</v>
      </c>
      <c r="F543" s="2851">
        <v>37530</v>
      </c>
      <c r="G543" s="2852">
        <v>13399.5</v>
      </c>
      <c r="H543" s="2819">
        <f t="shared" si="57"/>
        <v>0.35703437250199838</v>
      </c>
      <c r="J543" s="444" t="s">
        <v>750</v>
      </c>
    </row>
    <row r="544" spans="1:10" s="506" customFormat="1" ht="15" customHeight="1">
      <c r="A544" s="512"/>
      <c r="B544" s="514"/>
      <c r="C544" s="2849" t="s">
        <v>708</v>
      </c>
      <c r="D544" s="2850" t="s">
        <v>579</v>
      </c>
      <c r="E544" s="2851">
        <v>36072</v>
      </c>
      <c r="F544" s="2851">
        <v>44277</v>
      </c>
      <c r="G544" s="2852">
        <v>44013.27</v>
      </c>
      <c r="H544" s="2819">
        <f t="shared" si="57"/>
        <v>0.99404363439257393</v>
      </c>
      <c r="J544" s="444" t="s">
        <v>657</v>
      </c>
    </row>
    <row r="545" spans="1:10" s="506" customFormat="1" ht="15" customHeight="1">
      <c r="A545" s="512"/>
      <c r="B545" s="514"/>
      <c r="C545" s="2849" t="s">
        <v>626</v>
      </c>
      <c r="D545" s="2850" t="s">
        <v>579</v>
      </c>
      <c r="E545" s="2851">
        <f>1020000+170000</f>
        <v>1190000</v>
      </c>
      <c r="F545" s="2851">
        <v>1284031</v>
      </c>
      <c r="G545" s="2852">
        <v>1237459.5900000001</v>
      </c>
      <c r="H545" s="2819">
        <f t="shared" si="57"/>
        <v>0.96373030713432939</v>
      </c>
      <c r="J545" s="444" t="s">
        <v>696</v>
      </c>
    </row>
    <row r="546" spans="1:10" s="506" customFormat="1" ht="15" customHeight="1">
      <c r="A546" s="512"/>
      <c r="B546" s="514"/>
      <c r="C546" s="2849" t="s">
        <v>627</v>
      </c>
      <c r="D546" s="2850" t="s">
        <v>579</v>
      </c>
      <c r="E546" s="2851">
        <f>180000+6728+30000</f>
        <v>216728</v>
      </c>
      <c r="F546" s="2851">
        <v>234849</v>
      </c>
      <c r="G546" s="2852">
        <v>226584.69</v>
      </c>
      <c r="H546" s="2819">
        <f t="shared" si="57"/>
        <v>0.96481011202943168</v>
      </c>
      <c r="J546" s="444" t="s">
        <v>751</v>
      </c>
    </row>
    <row r="547" spans="1:10" s="506" customFormat="1" ht="15" customHeight="1">
      <c r="A547" s="512"/>
      <c r="B547" s="514"/>
      <c r="C547" s="2849" t="s">
        <v>752</v>
      </c>
      <c r="D547" s="2850" t="s">
        <v>581</v>
      </c>
      <c r="E547" s="2851">
        <v>1275000</v>
      </c>
      <c r="F547" s="2851">
        <v>539750</v>
      </c>
      <c r="G547" s="2852">
        <v>528232.84</v>
      </c>
      <c r="H547" s="2819">
        <f t="shared" si="57"/>
        <v>0.97866204724409445</v>
      </c>
      <c r="J547" s="444"/>
    </row>
    <row r="548" spans="1:10" s="506" customFormat="1" ht="15" customHeight="1">
      <c r="A548" s="512"/>
      <c r="B548" s="514"/>
      <c r="C548" s="2849" t="s">
        <v>753</v>
      </c>
      <c r="D548" s="2850" t="s">
        <v>581</v>
      </c>
      <c r="E548" s="2851">
        <v>225000</v>
      </c>
      <c r="F548" s="2851">
        <v>95250</v>
      </c>
      <c r="G548" s="2852">
        <v>93217.919999999998</v>
      </c>
      <c r="H548" s="2819">
        <f t="shared" si="57"/>
        <v>0.97866582677165348</v>
      </c>
      <c r="J548" s="444"/>
    </row>
    <row r="549" spans="1:10" s="506" customFormat="1" ht="15" customHeight="1">
      <c r="A549" s="512"/>
      <c r="B549" s="514"/>
      <c r="C549" s="2849" t="s">
        <v>628</v>
      </c>
      <c r="D549" s="2850" t="s">
        <v>582</v>
      </c>
      <c r="E549" s="2851">
        <v>0</v>
      </c>
      <c r="F549" s="2851">
        <v>25500</v>
      </c>
      <c r="G549" s="2852">
        <v>17525.189999999999</v>
      </c>
      <c r="H549" s="2819">
        <f t="shared" si="57"/>
        <v>0.68726235294117644</v>
      </c>
      <c r="J549" s="444"/>
    </row>
    <row r="550" spans="1:10" s="506" customFormat="1" ht="15" customHeight="1">
      <c r="A550" s="512"/>
      <c r="B550" s="514"/>
      <c r="C550" s="2849" t="s">
        <v>629</v>
      </c>
      <c r="D550" s="2850" t="s">
        <v>582</v>
      </c>
      <c r="E550" s="2851">
        <v>0</v>
      </c>
      <c r="F550" s="2851">
        <v>4500</v>
      </c>
      <c r="G550" s="2852">
        <v>3092.74</v>
      </c>
      <c r="H550" s="2819">
        <f t="shared" si="57"/>
        <v>0.68727555555555553</v>
      </c>
      <c r="J550" s="444"/>
    </row>
    <row r="551" spans="1:10" s="506" customFormat="1" ht="15" customHeight="1">
      <c r="A551" s="512"/>
      <c r="B551" s="514"/>
      <c r="C551" s="2849" t="s">
        <v>754</v>
      </c>
      <c r="D551" s="2850" t="s">
        <v>583</v>
      </c>
      <c r="E551" s="2851">
        <v>22950</v>
      </c>
      <c r="F551" s="2851">
        <v>39950</v>
      </c>
      <c r="G551" s="2852">
        <v>28609.21</v>
      </c>
      <c r="H551" s="2819">
        <f t="shared" si="57"/>
        <v>0.71612540675844805</v>
      </c>
      <c r="J551" s="444"/>
    </row>
    <row r="552" spans="1:10" s="506" customFormat="1" ht="15" customHeight="1">
      <c r="A552" s="512"/>
      <c r="B552" s="514"/>
      <c r="C552" s="2849" t="s">
        <v>755</v>
      </c>
      <c r="D552" s="2850" t="s">
        <v>583</v>
      </c>
      <c r="E552" s="2851">
        <v>4050</v>
      </c>
      <c r="F552" s="2851">
        <v>7050</v>
      </c>
      <c r="G552" s="2852">
        <v>5048.6899999999996</v>
      </c>
      <c r="H552" s="2819">
        <f t="shared" si="57"/>
        <v>0.71612624113475176</v>
      </c>
      <c r="J552" s="444"/>
    </row>
    <row r="553" spans="1:10" s="506" customFormat="1" ht="15" customHeight="1">
      <c r="A553" s="512"/>
      <c r="B553" s="514"/>
      <c r="C553" s="2849" t="s">
        <v>630</v>
      </c>
      <c r="D553" s="2850" t="s">
        <v>584</v>
      </c>
      <c r="E553" s="2851">
        <f>569160+78910+59516+3305600</f>
        <v>4013186</v>
      </c>
      <c r="F553" s="2851">
        <v>3752970</v>
      </c>
      <c r="G553" s="2852">
        <v>3668151</v>
      </c>
      <c r="H553" s="2819">
        <f t="shared" si="57"/>
        <v>0.97739949959631967</v>
      </c>
      <c r="J553" s="444" t="s">
        <v>750</v>
      </c>
    </row>
    <row r="554" spans="1:10" s="506" customFormat="1" ht="15" customHeight="1">
      <c r="A554" s="514"/>
      <c r="B554" s="514"/>
      <c r="C554" s="2853" t="s">
        <v>631</v>
      </c>
      <c r="D554" s="2854" t="s">
        <v>584</v>
      </c>
      <c r="E554" s="2851">
        <f>100440+13925+9421+583341</f>
        <v>707127</v>
      </c>
      <c r="F554" s="2851">
        <v>662289</v>
      </c>
      <c r="G554" s="2852">
        <v>647321.1</v>
      </c>
      <c r="H554" s="2819">
        <f t="shared" si="57"/>
        <v>0.97739974542835528</v>
      </c>
      <c r="J554" s="444" t="s">
        <v>750</v>
      </c>
    </row>
    <row r="555" spans="1:10" ht="15" customHeight="1">
      <c r="A555" s="517"/>
      <c r="B555" s="522"/>
      <c r="C555" s="2842" t="s">
        <v>756</v>
      </c>
      <c r="D555" s="2850" t="s">
        <v>742</v>
      </c>
      <c r="E555" s="2851">
        <v>4214</v>
      </c>
      <c r="F555" s="2851">
        <v>1012</v>
      </c>
      <c r="G555" s="2852">
        <v>1011.36</v>
      </c>
      <c r="H555" s="2819">
        <f t="shared" si="57"/>
        <v>0.99936758893280631</v>
      </c>
      <c r="J555" s="444" t="s">
        <v>657</v>
      </c>
    </row>
    <row r="556" spans="1:10" s="506" customFormat="1" ht="15" customHeight="1">
      <c r="A556" s="512"/>
      <c r="B556" s="514"/>
      <c r="C556" s="2849" t="s">
        <v>757</v>
      </c>
      <c r="D556" s="2850" t="s">
        <v>742</v>
      </c>
      <c r="E556" s="2851">
        <v>9350</v>
      </c>
      <c r="F556" s="2851">
        <v>2414</v>
      </c>
      <c r="G556" s="2852">
        <v>2404.65</v>
      </c>
      <c r="H556" s="2819">
        <f t="shared" si="57"/>
        <v>0.99612676056338034</v>
      </c>
      <c r="J556" s="444"/>
    </row>
    <row r="557" spans="1:10" s="506" customFormat="1" ht="15" customHeight="1">
      <c r="A557" s="512"/>
      <c r="B557" s="514"/>
      <c r="C557" s="2849" t="s">
        <v>758</v>
      </c>
      <c r="D557" s="2850" t="s">
        <v>742</v>
      </c>
      <c r="E557" s="2851">
        <f>1650+786</f>
        <v>2436</v>
      </c>
      <c r="F557" s="2851">
        <v>615</v>
      </c>
      <c r="G557" s="2852">
        <v>612.99</v>
      </c>
      <c r="H557" s="2819">
        <f t="shared" si="57"/>
        <v>0.99673170731707317</v>
      </c>
      <c r="J557" s="444" t="s">
        <v>657</v>
      </c>
    </row>
    <row r="558" spans="1:10" s="506" customFormat="1" ht="15" customHeight="1">
      <c r="A558" s="512"/>
      <c r="B558" s="514"/>
      <c r="C558" s="2849" t="s">
        <v>759</v>
      </c>
      <c r="D558" s="2850" t="s">
        <v>586</v>
      </c>
      <c r="E558" s="2851">
        <f>85000+180340+1410384</f>
        <v>1675724</v>
      </c>
      <c r="F558" s="2851">
        <v>1019359</v>
      </c>
      <c r="G558" s="2852">
        <v>1019357.36</v>
      </c>
      <c r="H558" s="2819">
        <f t="shared" si="57"/>
        <v>0.99999839114580824</v>
      </c>
      <c r="J558" s="444" t="s">
        <v>760</v>
      </c>
    </row>
    <row r="559" spans="1:10" s="506" customFormat="1" ht="15" customHeight="1">
      <c r="A559" s="512"/>
      <c r="B559" s="514"/>
      <c r="C559" s="2849" t="s">
        <v>761</v>
      </c>
      <c r="D559" s="2850" t="s">
        <v>586</v>
      </c>
      <c r="E559" s="2851">
        <f>15000+31825+248891</f>
        <v>295716</v>
      </c>
      <c r="F559" s="2851">
        <v>179888</v>
      </c>
      <c r="G559" s="2852">
        <v>179886.6</v>
      </c>
      <c r="H559" s="2819">
        <f t="shared" si="57"/>
        <v>0.99999221737970301</v>
      </c>
      <c r="J559" s="444" t="s">
        <v>760</v>
      </c>
    </row>
    <row r="560" spans="1:10" s="506" customFormat="1" ht="15" customHeight="1">
      <c r="A560" s="512"/>
      <c r="B560" s="514"/>
      <c r="C560" s="2849" t="s">
        <v>632</v>
      </c>
      <c r="D560" s="2850" t="s">
        <v>589</v>
      </c>
      <c r="E560" s="2851">
        <f>72250+10200</f>
        <v>82450</v>
      </c>
      <c r="F560" s="2851">
        <v>68761</v>
      </c>
      <c r="G560" s="2852">
        <v>56968.44</v>
      </c>
      <c r="H560" s="2819">
        <f t="shared" si="57"/>
        <v>0.82849929465830929</v>
      </c>
      <c r="J560" s="444" t="s">
        <v>696</v>
      </c>
    </row>
    <row r="561" spans="1:10" s="506" customFormat="1" ht="15" customHeight="1">
      <c r="A561" s="512"/>
      <c r="B561" s="514"/>
      <c r="C561" s="2855" t="s">
        <v>633</v>
      </c>
      <c r="D561" s="2856" t="s">
        <v>589</v>
      </c>
      <c r="E561" s="2851">
        <f>12750+1800</f>
        <v>14550</v>
      </c>
      <c r="F561" s="2851">
        <v>12135</v>
      </c>
      <c r="G561" s="2852">
        <v>10054.530000000001</v>
      </c>
      <c r="H561" s="2819">
        <f t="shared" si="57"/>
        <v>0.82855624227441294</v>
      </c>
      <c r="J561" s="444" t="s">
        <v>696</v>
      </c>
    </row>
    <row r="562" spans="1:10" s="506" customFormat="1" ht="15" customHeight="1">
      <c r="A562" s="512"/>
      <c r="B562" s="514"/>
      <c r="C562" s="2857" t="s">
        <v>658</v>
      </c>
      <c r="D562" s="2858" t="s">
        <v>591</v>
      </c>
      <c r="E562" s="2851">
        <f>59500+10200</f>
        <v>69700</v>
      </c>
      <c r="F562" s="2851">
        <v>44269</v>
      </c>
      <c r="G562" s="2852">
        <v>29674.53</v>
      </c>
      <c r="H562" s="2819">
        <f t="shared" si="57"/>
        <v>0.67032302514174702</v>
      </c>
      <c r="J562" s="444" t="s">
        <v>696</v>
      </c>
    </row>
    <row r="563" spans="1:10" s="506" customFormat="1" ht="15" customHeight="1">
      <c r="A563" s="512"/>
      <c r="B563" s="514"/>
      <c r="C563" s="2820" t="s">
        <v>659</v>
      </c>
      <c r="D563" s="2821" t="s">
        <v>591</v>
      </c>
      <c r="E563" s="2851">
        <f>10500+1800</f>
        <v>12300</v>
      </c>
      <c r="F563" s="2851">
        <v>7813</v>
      </c>
      <c r="G563" s="2852">
        <v>5236.7299999999996</v>
      </c>
      <c r="H563" s="2819">
        <f t="shared" si="57"/>
        <v>0.67025854345321889</v>
      </c>
      <c r="J563" s="444" t="s">
        <v>696</v>
      </c>
    </row>
    <row r="564" spans="1:10" s="506" customFormat="1" ht="15" customHeight="1">
      <c r="A564" s="512"/>
      <c r="B564" s="514"/>
      <c r="C564" s="2849" t="s">
        <v>762</v>
      </c>
      <c r="D564" s="2850" t="s">
        <v>597</v>
      </c>
      <c r="E564" s="2851">
        <v>51000</v>
      </c>
      <c r="F564" s="2851">
        <v>51000</v>
      </c>
      <c r="G564" s="2852">
        <v>22911.63</v>
      </c>
      <c r="H564" s="2819">
        <f t="shared" si="57"/>
        <v>0.44924764705882353</v>
      </c>
      <c r="J564" s="444"/>
    </row>
    <row r="565" spans="1:10" s="506" customFormat="1" ht="15" customHeight="1">
      <c r="A565" s="512"/>
      <c r="B565" s="514"/>
      <c r="C565" s="2849" t="s">
        <v>763</v>
      </c>
      <c r="D565" s="2850" t="s">
        <v>597</v>
      </c>
      <c r="E565" s="2851">
        <v>9000</v>
      </c>
      <c r="F565" s="2851">
        <v>9000</v>
      </c>
      <c r="G565" s="2852">
        <v>4043.3</v>
      </c>
      <c r="H565" s="2819">
        <f t="shared" si="57"/>
        <v>0.44925555555555557</v>
      </c>
      <c r="J565" s="444"/>
    </row>
    <row r="566" spans="1:10" s="506" customFormat="1" ht="15" customHeight="1">
      <c r="A566" s="512"/>
      <c r="B566" s="514"/>
      <c r="C566" s="2853" t="s">
        <v>764</v>
      </c>
      <c r="D566" s="2854" t="s">
        <v>648</v>
      </c>
      <c r="E566" s="2851">
        <v>110500</v>
      </c>
      <c r="F566" s="2851">
        <v>27370</v>
      </c>
      <c r="G566" s="2852">
        <v>25312.14</v>
      </c>
      <c r="H566" s="2819">
        <f t="shared" si="57"/>
        <v>0.92481329923273659</v>
      </c>
      <c r="J566" s="444"/>
    </row>
    <row r="567" spans="1:10" s="506" customFormat="1" ht="15" customHeight="1">
      <c r="A567" s="514"/>
      <c r="B567" s="514"/>
      <c r="C567" s="2770" t="s">
        <v>765</v>
      </c>
      <c r="D567" s="2771" t="s">
        <v>648</v>
      </c>
      <c r="E567" s="2822">
        <v>19500</v>
      </c>
      <c r="F567" s="2822">
        <v>4830</v>
      </c>
      <c r="G567" s="2823">
        <v>4466.8599999999997</v>
      </c>
      <c r="H567" s="2819">
        <f t="shared" si="57"/>
        <v>0.92481573498964798</v>
      </c>
      <c r="J567" s="444"/>
    </row>
    <row r="568" spans="1:10" s="506" customFormat="1" ht="15" customHeight="1">
      <c r="A568" s="512"/>
      <c r="B568" s="514"/>
      <c r="C568" s="563" t="s">
        <v>636</v>
      </c>
      <c r="D568" s="562" t="s">
        <v>600</v>
      </c>
      <c r="E568" s="2859">
        <v>178500</v>
      </c>
      <c r="F568" s="2859">
        <v>298486</v>
      </c>
      <c r="G568" s="2860">
        <v>220215.04000000001</v>
      </c>
      <c r="H568" s="2819">
        <f t="shared" si="57"/>
        <v>0.73777342990961048</v>
      </c>
      <c r="J568" s="444"/>
    </row>
    <row r="569" spans="1:10" s="506" customFormat="1" ht="15" customHeight="1">
      <c r="A569" s="514"/>
      <c r="B569" s="514"/>
      <c r="C569" s="2857" t="s">
        <v>637</v>
      </c>
      <c r="D569" s="2858" t="s">
        <v>600</v>
      </c>
      <c r="E569" s="2851">
        <v>31500</v>
      </c>
      <c r="F569" s="2851">
        <v>52674</v>
      </c>
      <c r="G569" s="2852">
        <v>38861.71</v>
      </c>
      <c r="H569" s="2819">
        <f t="shared" si="57"/>
        <v>0.73777784106010558</v>
      </c>
      <c r="J569" s="444"/>
    </row>
    <row r="570" spans="1:10" s="506" customFormat="1" ht="15" customHeight="1">
      <c r="A570" s="512"/>
      <c r="B570" s="512"/>
      <c r="C570" s="2837" t="s">
        <v>638</v>
      </c>
      <c r="D570" s="2838" t="s">
        <v>576</v>
      </c>
      <c r="E570" s="2822">
        <v>192032</v>
      </c>
      <c r="F570" s="2822">
        <v>228321</v>
      </c>
      <c r="G570" s="2823">
        <v>209049.11</v>
      </c>
      <c r="H570" s="2819">
        <f t="shared" si="57"/>
        <v>0.91559300283372969</v>
      </c>
      <c r="J570" s="444"/>
    </row>
    <row r="571" spans="1:10" s="506" customFormat="1" ht="15" customHeight="1" thickBot="1">
      <c r="A571" s="565"/>
      <c r="B571" s="593"/>
      <c r="C571" s="2843" t="s">
        <v>639</v>
      </c>
      <c r="D571" s="2861" t="s">
        <v>576</v>
      </c>
      <c r="E571" s="2840">
        <v>33888</v>
      </c>
      <c r="F571" s="2840">
        <v>40292</v>
      </c>
      <c r="G571" s="2841">
        <v>36892.86</v>
      </c>
      <c r="H571" s="2245">
        <f t="shared" si="57"/>
        <v>0.91563734736424107</v>
      </c>
      <c r="J571" s="444"/>
    </row>
    <row r="572" spans="1:10" ht="15" customHeight="1">
      <c r="A572" s="2431"/>
      <c r="B572" s="2773"/>
      <c r="C572" s="2862"/>
      <c r="D572" s="2862"/>
      <c r="E572" s="2293"/>
      <c r="F572" s="2292"/>
      <c r="G572" s="2435"/>
      <c r="H572" s="2848"/>
    </row>
    <row r="573" spans="1:10" s="506" customFormat="1" ht="15" customHeight="1">
      <c r="A573" s="512"/>
      <c r="B573" s="514"/>
      <c r="C573" s="4998" t="s">
        <v>603</v>
      </c>
      <c r="D573" s="4998"/>
      <c r="E573" s="2863">
        <f>SUM(E574)</f>
        <v>5106600</v>
      </c>
      <c r="F573" s="2863">
        <f t="shared" ref="F573:G573" si="58">SUM(F574)</f>
        <v>7512001</v>
      </c>
      <c r="G573" s="2864">
        <f t="shared" si="58"/>
        <v>6450505.4100000001</v>
      </c>
      <c r="H573" s="2882">
        <f t="shared" ref="H573:H583" si="59">G573/F573</f>
        <v>0.85869336412495156</v>
      </c>
      <c r="J573" s="444"/>
    </row>
    <row r="574" spans="1:10" s="506" customFormat="1" ht="15" customHeight="1">
      <c r="A574" s="512"/>
      <c r="B574" s="514"/>
      <c r="C574" s="5011" t="s">
        <v>688</v>
      </c>
      <c r="D574" s="5011"/>
      <c r="E574" s="2865">
        <f>SUM(E575:E583)</f>
        <v>5106600</v>
      </c>
      <c r="F574" s="2866">
        <f t="shared" ref="F574:G574" si="60">SUM(F575:F583)</f>
        <v>7512001</v>
      </c>
      <c r="G574" s="2867">
        <f t="shared" si="60"/>
        <v>6450505.4100000001</v>
      </c>
      <c r="H574" s="2883">
        <f t="shared" si="59"/>
        <v>0.85869336412495156</v>
      </c>
      <c r="J574" s="444"/>
    </row>
    <row r="575" spans="1:10" s="506" customFormat="1" ht="15" customHeight="1">
      <c r="A575" s="512"/>
      <c r="B575" s="514"/>
      <c r="C575" s="2849" t="s">
        <v>339</v>
      </c>
      <c r="D575" s="2850" t="s">
        <v>671</v>
      </c>
      <c r="E575" s="2865">
        <f>2996000+728300</f>
        <v>3724300</v>
      </c>
      <c r="F575" s="2866">
        <v>3469673</v>
      </c>
      <c r="G575" s="2867">
        <v>2987486.21</v>
      </c>
      <c r="H575" s="2883">
        <f t="shared" si="59"/>
        <v>0.86102817470118942</v>
      </c>
      <c r="J575" s="444" t="s">
        <v>739</v>
      </c>
    </row>
    <row r="576" spans="1:10" s="506" customFormat="1" ht="15" customHeight="1">
      <c r="A576" s="512"/>
      <c r="B576" s="514"/>
      <c r="C576" s="2849" t="s">
        <v>672</v>
      </c>
      <c r="D576" s="2850" t="s">
        <v>671</v>
      </c>
      <c r="E576" s="2865">
        <v>0</v>
      </c>
      <c r="F576" s="2866">
        <v>2080545</v>
      </c>
      <c r="G576" s="2867">
        <v>2080544.99</v>
      </c>
      <c r="H576" s="2883">
        <f t="shared" si="59"/>
        <v>0.99999999519356708</v>
      </c>
      <c r="J576" s="444"/>
    </row>
    <row r="577" spans="1:10" s="506" customFormat="1" ht="15" customHeight="1">
      <c r="A577" s="512"/>
      <c r="B577" s="514"/>
      <c r="C577" s="2849" t="s">
        <v>673</v>
      </c>
      <c r="D577" s="2850" t="s">
        <v>671</v>
      </c>
      <c r="E577" s="2865">
        <v>0</v>
      </c>
      <c r="F577" s="2866">
        <v>367156</v>
      </c>
      <c r="G577" s="2867">
        <v>367155.01</v>
      </c>
      <c r="H577" s="2883">
        <f t="shared" si="59"/>
        <v>0.99999730359847039</v>
      </c>
      <c r="J577" s="444"/>
    </row>
    <row r="578" spans="1:10" s="506" customFormat="1" ht="15" customHeight="1">
      <c r="A578" s="512"/>
      <c r="B578" s="5012"/>
      <c r="C578" s="2849" t="s">
        <v>354</v>
      </c>
      <c r="D578" s="2850" t="s">
        <v>605</v>
      </c>
      <c r="E578" s="2865">
        <f>1200000+36300+100000</f>
        <v>1336300</v>
      </c>
      <c r="F578" s="2866">
        <v>1469563</v>
      </c>
      <c r="G578" s="2867">
        <v>931569.02</v>
      </c>
      <c r="H578" s="2883">
        <f t="shared" si="59"/>
        <v>0.63390886950746583</v>
      </c>
      <c r="J578" s="444" t="s">
        <v>738</v>
      </c>
    </row>
    <row r="579" spans="1:10" s="506" customFormat="1" ht="15" customHeight="1">
      <c r="A579" s="512"/>
      <c r="B579" s="5012"/>
      <c r="C579" s="2849" t="s">
        <v>668</v>
      </c>
      <c r="D579" s="2850" t="s">
        <v>605</v>
      </c>
      <c r="E579" s="2865">
        <v>38769</v>
      </c>
      <c r="F579" s="2866">
        <v>33407</v>
      </c>
      <c r="G579" s="2867">
        <v>30320.799999999999</v>
      </c>
      <c r="H579" s="2883">
        <f t="shared" si="59"/>
        <v>0.90761816385787408</v>
      </c>
      <c r="J579" s="444" t="s">
        <v>657</v>
      </c>
    </row>
    <row r="580" spans="1:10" s="506" customFormat="1" ht="15" customHeight="1">
      <c r="A580" s="512"/>
      <c r="B580" s="5012"/>
      <c r="C580" s="2849" t="s">
        <v>766</v>
      </c>
      <c r="D580" s="2850" t="s">
        <v>605</v>
      </c>
      <c r="E580" s="2865">
        <v>0</v>
      </c>
      <c r="F580" s="2866">
        <v>68000</v>
      </c>
      <c r="G580" s="2867">
        <v>35996.800000000003</v>
      </c>
      <c r="H580" s="2883">
        <f t="shared" si="59"/>
        <v>0.52936470588235296</v>
      </c>
      <c r="J580" s="444"/>
    </row>
    <row r="581" spans="1:10" s="506" customFormat="1" ht="15" customHeight="1">
      <c r="A581" s="512"/>
      <c r="B581" s="5012"/>
      <c r="C581" s="2853" t="s">
        <v>365</v>
      </c>
      <c r="D581" s="2854" t="s">
        <v>605</v>
      </c>
      <c r="E581" s="2865">
        <v>7231</v>
      </c>
      <c r="F581" s="2866">
        <v>18231</v>
      </c>
      <c r="G581" s="2867">
        <v>12007.85</v>
      </c>
      <c r="H581" s="2883">
        <f t="shared" si="59"/>
        <v>0.65865010147550873</v>
      </c>
      <c r="J581" s="444" t="s">
        <v>657</v>
      </c>
    </row>
    <row r="582" spans="1:10" s="506" customFormat="1" ht="30" customHeight="1">
      <c r="A582" s="512"/>
      <c r="B582" s="5012"/>
      <c r="C582" s="2868" t="s">
        <v>677</v>
      </c>
      <c r="D582" s="2869" t="s">
        <v>678</v>
      </c>
      <c r="E582" s="2865">
        <v>0</v>
      </c>
      <c r="F582" s="2866">
        <v>4573</v>
      </c>
      <c r="G582" s="2867">
        <v>4572.2</v>
      </c>
      <c r="H582" s="2883">
        <f t="shared" si="59"/>
        <v>0.99982506013557837</v>
      </c>
      <c r="J582" s="444"/>
    </row>
    <row r="583" spans="1:10" s="506" customFormat="1" ht="29.25" customHeight="1">
      <c r="A583" s="512"/>
      <c r="B583" s="5012"/>
      <c r="C583" s="2868" t="s">
        <v>212</v>
      </c>
      <c r="D583" s="2869" t="s">
        <v>678</v>
      </c>
      <c r="E583" s="2865">
        <v>0</v>
      </c>
      <c r="F583" s="2866">
        <v>853</v>
      </c>
      <c r="G583" s="2867">
        <v>852.53</v>
      </c>
      <c r="H583" s="2883">
        <f t="shared" si="59"/>
        <v>0.99944900351699884</v>
      </c>
      <c r="J583" s="444"/>
    </row>
    <row r="584" spans="1:10" s="506" customFormat="1" ht="15" customHeight="1">
      <c r="A584" s="512"/>
      <c r="B584" s="5013"/>
      <c r="C584" s="2775"/>
      <c r="D584" s="2884"/>
      <c r="E584" s="2865"/>
      <c r="F584" s="2870"/>
      <c r="G584" s="2871"/>
      <c r="H584" s="2885"/>
      <c r="J584" s="444"/>
    </row>
    <row r="585" spans="1:10" s="506" customFormat="1" ht="15" customHeight="1">
      <c r="A585" s="512"/>
      <c r="B585" s="5013"/>
      <c r="C585" s="5014" t="s">
        <v>669</v>
      </c>
      <c r="D585" s="5015"/>
      <c r="E585" s="2886">
        <f>SUM(E586:E592)</f>
        <v>46000</v>
      </c>
      <c r="F585" s="2886">
        <f>SUM(F586:F592)</f>
        <v>2572765</v>
      </c>
      <c r="G585" s="2887">
        <f>SUM(G586:G592)</f>
        <v>2531450.1799999997</v>
      </c>
      <c r="H585" s="2888">
        <f t="shared" ref="H585:H599" si="61">G585/F585</f>
        <v>0.98394147152965772</v>
      </c>
      <c r="J585" s="444"/>
    </row>
    <row r="586" spans="1:10" s="506" customFormat="1" ht="15" customHeight="1">
      <c r="A586" s="512"/>
      <c r="B586" s="5013"/>
      <c r="C586" s="2849" t="s">
        <v>672</v>
      </c>
      <c r="D586" s="2850" t="s">
        <v>671</v>
      </c>
      <c r="E586" s="2872">
        <v>0</v>
      </c>
      <c r="F586" s="2872">
        <v>2080545</v>
      </c>
      <c r="G586" s="2873">
        <v>2080544.99</v>
      </c>
      <c r="H586" s="2888">
        <f t="shared" si="61"/>
        <v>0.99999999519356708</v>
      </c>
      <c r="J586" s="444"/>
    </row>
    <row r="587" spans="1:10" s="506" customFormat="1" ht="15" customHeight="1">
      <c r="A587" s="512"/>
      <c r="B587" s="5013"/>
      <c r="C587" s="2849" t="s">
        <v>673</v>
      </c>
      <c r="D587" s="2850" t="s">
        <v>671</v>
      </c>
      <c r="E587" s="2872">
        <v>0</v>
      </c>
      <c r="F587" s="2872">
        <v>367156</v>
      </c>
      <c r="G587" s="2873">
        <v>367155.01</v>
      </c>
      <c r="H587" s="2888">
        <f t="shared" si="61"/>
        <v>0.99999730359847039</v>
      </c>
      <c r="J587" s="444"/>
    </row>
    <row r="588" spans="1:10" s="506" customFormat="1" ht="15" customHeight="1">
      <c r="A588" s="512"/>
      <c r="B588" s="5013"/>
      <c r="C588" s="2874" t="s">
        <v>668</v>
      </c>
      <c r="D588" s="2875" t="s">
        <v>605</v>
      </c>
      <c r="E588" s="2872">
        <v>38769</v>
      </c>
      <c r="F588" s="2872">
        <v>33407</v>
      </c>
      <c r="G588" s="2873">
        <v>30320.799999999999</v>
      </c>
      <c r="H588" s="2888">
        <f t="shared" si="61"/>
        <v>0.90761816385787408</v>
      </c>
      <c r="J588" s="444" t="s">
        <v>657</v>
      </c>
    </row>
    <row r="589" spans="1:10" s="506" customFormat="1" ht="15" customHeight="1">
      <c r="A589" s="512"/>
      <c r="B589" s="5013"/>
      <c r="C589" s="2874" t="s">
        <v>766</v>
      </c>
      <c r="D589" s="2875" t="s">
        <v>605</v>
      </c>
      <c r="E589" s="2872">
        <v>0</v>
      </c>
      <c r="F589" s="2872">
        <v>68000</v>
      </c>
      <c r="G589" s="2873">
        <v>35996.800000000003</v>
      </c>
      <c r="H589" s="2888">
        <f t="shared" si="61"/>
        <v>0.52936470588235296</v>
      </c>
      <c r="J589" s="444"/>
    </row>
    <row r="590" spans="1:10" s="506" customFormat="1" ht="15" customHeight="1">
      <c r="A590" s="512"/>
      <c r="B590" s="5013"/>
      <c r="C590" s="2853" t="s">
        <v>365</v>
      </c>
      <c r="D590" s="2854" t="s">
        <v>605</v>
      </c>
      <c r="E590" s="2872">
        <v>7231</v>
      </c>
      <c r="F590" s="2872">
        <v>18231</v>
      </c>
      <c r="G590" s="2873">
        <v>12007.85</v>
      </c>
      <c r="H590" s="2888">
        <f t="shared" si="61"/>
        <v>0.65865010147550873</v>
      </c>
      <c r="J590" s="444" t="s">
        <v>657</v>
      </c>
    </row>
    <row r="591" spans="1:10" s="506" customFormat="1" ht="30" customHeight="1">
      <c r="A591" s="512"/>
      <c r="B591" s="564"/>
      <c r="C591" s="2868" t="s">
        <v>677</v>
      </c>
      <c r="D591" s="2869" t="s">
        <v>678</v>
      </c>
      <c r="E591" s="2866">
        <v>0</v>
      </c>
      <c r="F591" s="2866">
        <v>4573</v>
      </c>
      <c r="G591" s="2867">
        <v>4572.2</v>
      </c>
      <c r="H591" s="2888">
        <f t="shared" si="61"/>
        <v>0.99982506013557837</v>
      </c>
      <c r="J591" s="444"/>
    </row>
    <row r="592" spans="1:10" s="506" customFormat="1" ht="29.25" customHeight="1" thickBot="1">
      <c r="A592" s="512"/>
      <c r="B592" s="564"/>
      <c r="C592" s="2868" t="s">
        <v>212</v>
      </c>
      <c r="D592" s="2869" t="s">
        <v>678</v>
      </c>
      <c r="E592" s="2866">
        <v>0</v>
      </c>
      <c r="F592" s="2866">
        <v>853</v>
      </c>
      <c r="G592" s="2867">
        <v>852.53</v>
      </c>
      <c r="H592" s="2888">
        <f t="shared" si="61"/>
        <v>0.99944900351699884</v>
      </c>
      <c r="J592" s="444"/>
    </row>
    <row r="593" spans="1:10" s="506" customFormat="1" ht="15" customHeight="1" thickBot="1">
      <c r="A593" s="512"/>
      <c r="B593" s="2343" t="s">
        <v>404</v>
      </c>
      <c r="C593" s="2344"/>
      <c r="D593" s="2345" t="s">
        <v>136</v>
      </c>
      <c r="E593" s="2346">
        <f t="shared" ref="E593:G594" si="62">SUM(E594)</f>
        <v>20000</v>
      </c>
      <c r="F593" s="2346">
        <f t="shared" si="62"/>
        <v>20000</v>
      </c>
      <c r="G593" s="2466">
        <f t="shared" si="62"/>
        <v>15689.64</v>
      </c>
      <c r="H593" s="2467">
        <f t="shared" si="61"/>
        <v>0.78448200000000001</v>
      </c>
      <c r="J593" s="444"/>
    </row>
    <row r="594" spans="1:10" s="506" customFormat="1" ht="15" customHeight="1">
      <c r="A594" s="512"/>
      <c r="B594" s="4830"/>
      <c r="C594" s="5016" t="s">
        <v>737</v>
      </c>
      <c r="D594" s="5016"/>
      <c r="E594" s="2889">
        <f t="shared" si="62"/>
        <v>20000</v>
      </c>
      <c r="F594" s="2889">
        <f t="shared" si="62"/>
        <v>20000</v>
      </c>
      <c r="G594" s="2890">
        <f t="shared" si="62"/>
        <v>15689.64</v>
      </c>
      <c r="H594" s="2891">
        <f t="shared" si="61"/>
        <v>0.78448200000000001</v>
      </c>
      <c r="J594" s="444" t="s">
        <v>696</v>
      </c>
    </row>
    <row r="595" spans="1:10" s="506" customFormat="1" ht="15" customHeight="1">
      <c r="A595" s="512"/>
      <c r="B595" s="4830"/>
      <c r="C595" s="5017" t="s">
        <v>568</v>
      </c>
      <c r="D595" s="5017"/>
      <c r="E595" s="2865">
        <f>SUM(E596,E601)</f>
        <v>20000</v>
      </c>
      <c r="F595" s="2865">
        <f>SUM(F596,F601)</f>
        <v>20000</v>
      </c>
      <c r="G595" s="2877">
        <f>SUM(G596,G601)</f>
        <v>15689.64</v>
      </c>
      <c r="H595" s="2892">
        <f t="shared" si="61"/>
        <v>0.78448200000000001</v>
      </c>
      <c r="J595" s="444"/>
    </row>
    <row r="596" spans="1:10" s="506" customFormat="1" ht="15" customHeight="1">
      <c r="A596" s="512"/>
      <c r="B596" s="4830"/>
      <c r="C596" s="5018" t="s">
        <v>569</v>
      </c>
      <c r="D596" s="5018"/>
      <c r="E596" s="2878">
        <f>SUM(E597:E599)</f>
        <v>11270</v>
      </c>
      <c r="F596" s="2878">
        <f>SUM(F597:F599)</f>
        <v>7270</v>
      </c>
      <c r="G596" s="2879">
        <f>SUM(G597:G599)</f>
        <v>5994.9</v>
      </c>
      <c r="H596" s="2892">
        <f t="shared" si="61"/>
        <v>0.8246079779917469</v>
      </c>
      <c r="J596" s="444"/>
    </row>
    <row r="597" spans="1:10" s="506" customFormat="1" ht="15" customHeight="1">
      <c r="A597" s="512"/>
      <c r="B597" s="4830"/>
      <c r="C597" s="2849" t="s">
        <v>315</v>
      </c>
      <c r="D597" s="2850" t="s">
        <v>573</v>
      </c>
      <c r="E597" s="2865">
        <v>700</v>
      </c>
      <c r="F597" s="2865">
        <v>700</v>
      </c>
      <c r="G597" s="2877">
        <v>324.89999999999998</v>
      </c>
      <c r="H597" s="2892">
        <f t="shared" si="61"/>
        <v>0.46414285714285713</v>
      </c>
      <c r="J597" s="444"/>
    </row>
    <row r="598" spans="1:10" s="506" customFormat="1" ht="15" customHeight="1">
      <c r="A598" s="512"/>
      <c r="B598" s="4830"/>
      <c r="C598" s="2849" t="s">
        <v>314</v>
      </c>
      <c r="D598" s="2850" t="s">
        <v>574</v>
      </c>
      <c r="E598" s="2865">
        <v>140</v>
      </c>
      <c r="F598" s="2865">
        <v>140</v>
      </c>
      <c r="G598" s="2877">
        <v>0</v>
      </c>
      <c r="H598" s="2892">
        <f t="shared" si="61"/>
        <v>0</v>
      </c>
      <c r="J598" s="444"/>
    </row>
    <row r="599" spans="1:10" s="506" customFormat="1" ht="15" customHeight="1">
      <c r="A599" s="512"/>
      <c r="B599" s="514"/>
      <c r="C599" s="2849" t="s">
        <v>319</v>
      </c>
      <c r="D599" s="2850" t="s">
        <v>575</v>
      </c>
      <c r="E599" s="2865">
        <v>10430</v>
      </c>
      <c r="F599" s="2865">
        <v>6430</v>
      </c>
      <c r="G599" s="2877">
        <v>5670</v>
      </c>
      <c r="H599" s="2892">
        <f t="shared" si="61"/>
        <v>0.88180404354587871</v>
      </c>
      <c r="J599" s="444"/>
    </row>
    <row r="600" spans="1:10" s="506" customFormat="1" ht="15" customHeight="1" thickBot="1">
      <c r="A600" s="593"/>
      <c r="B600" s="565"/>
      <c r="C600" s="2880"/>
      <c r="D600" s="2881"/>
      <c r="E600" s="567"/>
      <c r="F600" s="567"/>
      <c r="G600" s="1149"/>
      <c r="H600" s="2469"/>
      <c r="J600" s="444"/>
    </row>
    <row r="601" spans="1:10" s="506" customFormat="1" ht="15" customHeight="1">
      <c r="A601" s="507"/>
      <c r="B601" s="2487"/>
      <c r="C601" s="5003" t="s">
        <v>577</v>
      </c>
      <c r="D601" s="5003"/>
      <c r="E601" s="2893">
        <f>SUM(E602:E603)</f>
        <v>8730</v>
      </c>
      <c r="F601" s="2893">
        <f>SUM(F602:F603)</f>
        <v>12730</v>
      </c>
      <c r="G601" s="2894">
        <f>SUM(G602:G603)</f>
        <v>9694.74</v>
      </c>
      <c r="H601" s="2895">
        <f t="shared" ref="H601:H610" si="63">G601/F601</f>
        <v>0.76156637863315002</v>
      </c>
      <c r="J601" s="444"/>
    </row>
    <row r="602" spans="1:10" s="506" customFormat="1" ht="15" customHeight="1">
      <c r="A602" s="512"/>
      <c r="B602" s="514"/>
      <c r="C602" s="2855" t="s">
        <v>313</v>
      </c>
      <c r="D602" s="2856" t="s">
        <v>579</v>
      </c>
      <c r="E602" s="2865">
        <v>3500</v>
      </c>
      <c r="F602" s="2865">
        <v>3500</v>
      </c>
      <c r="G602" s="2877">
        <v>1960.44</v>
      </c>
      <c r="H602" s="2892">
        <f t="shared" si="63"/>
        <v>0.56012571428571434</v>
      </c>
      <c r="J602" s="444"/>
    </row>
    <row r="603" spans="1:10" s="506" customFormat="1" ht="18" customHeight="1" thickBot="1">
      <c r="A603" s="514"/>
      <c r="B603" s="565"/>
      <c r="C603" s="566" t="s">
        <v>312</v>
      </c>
      <c r="D603" s="2896" t="s">
        <v>584</v>
      </c>
      <c r="E603" s="567">
        <v>5230</v>
      </c>
      <c r="F603" s="567">
        <v>9230</v>
      </c>
      <c r="G603" s="1149">
        <v>7734.3</v>
      </c>
      <c r="H603" s="1150">
        <f t="shared" si="63"/>
        <v>0.83795232936078012</v>
      </c>
      <c r="J603" s="444"/>
    </row>
    <row r="604" spans="1:10" s="506" customFormat="1" ht="15" customHeight="1" thickBot="1">
      <c r="A604" s="512"/>
      <c r="B604" s="568" t="s">
        <v>403</v>
      </c>
      <c r="C604" s="569"/>
      <c r="D604" s="570" t="s">
        <v>137</v>
      </c>
      <c r="E604" s="571">
        <f>SUM(E605,E637)</f>
        <v>20714946</v>
      </c>
      <c r="F604" s="571">
        <f>SUM(F605,F637)</f>
        <v>24285718</v>
      </c>
      <c r="G604" s="1348">
        <f>SUM(G605,G637)</f>
        <v>23259825.520000003</v>
      </c>
      <c r="H604" s="2467">
        <f t="shared" si="63"/>
        <v>0.95775737493122515</v>
      </c>
      <c r="J604" s="444"/>
    </row>
    <row r="605" spans="1:10" s="506" customFormat="1" ht="15" customHeight="1">
      <c r="A605" s="512"/>
      <c r="B605" s="572"/>
      <c r="C605" s="5004" t="s">
        <v>567</v>
      </c>
      <c r="D605" s="5004"/>
      <c r="E605" s="2769">
        <f>SUM(E606,E621,E625)</f>
        <v>20672946</v>
      </c>
      <c r="F605" s="2769">
        <f>SUM(F606,F621,F625)</f>
        <v>24243718</v>
      </c>
      <c r="G605" s="2876">
        <f>SUM(G606,G621,G625)</f>
        <v>23217907.120000005</v>
      </c>
      <c r="H605" s="2891">
        <f t="shared" si="63"/>
        <v>0.95768755930917882</v>
      </c>
      <c r="J605" s="444"/>
    </row>
    <row r="606" spans="1:10" s="506" customFormat="1" ht="15" customHeight="1">
      <c r="A606" s="512"/>
      <c r="B606" s="572"/>
      <c r="C606" s="5005" t="s">
        <v>568</v>
      </c>
      <c r="D606" s="5005"/>
      <c r="E606" s="2898">
        <f>SUM(E607,E612)</f>
        <v>16372946</v>
      </c>
      <c r="F606" s="2898">
        <f>SUM(F607,F612)</f>
        <v>18029148</v>
      </c>
      <c r="G606" s="2899">
        <f>SUM(G607,G612)</f>
        <v>17091557.540000003</v>
      </c>
      <c r="H606" s="2892">
        <f t="shared" si="63"/>
        <v>0.94799585315956159</v>
      </c>
      <c r="J606" s="444"/>
    </row>
    <row r="607" spans="1:10" s="506" customFormat="1" ht="15" customHeight="1">
      <c r="A607" s="512"/>
      <c r="B607" s="572"/>
      <c r="C607" s="5006" t="s">
        <v>569</v>
      </c>
      <c r="D607" s="5006"/>
      <c r="E607" s="2900">
        <f>SUM(E608:E610)</f>
        <v>76360</v>
      </c>
      <c r="F607" s="2900">
        <f>SUM(F608:F610)</f>
        <v>47360</v>
      </c>
      <c r="G607" s="2901">
        <f>SUM(G608:G610)</f>
        <v>38736</v>
      </c>
      <c r="H607" s="2892">
        <f t="shared" si="63"/>
        <v>0.81790540540540535</v>
      </c>
      <c r="J607" s="444"/>
    </row>
    <row r="608" spans="1:10" s="506" customFormat="1" ht="15" customHeight="1">
      <c r="A608" s="512"/>
      <c r="B608" s="572"/>
      <c r="C608" s="2902" t="s">
        <v>315</v>
      </c>
      <c r="D608" s="2903" t="s">
        <v>573</v>
      </c>
      <c r="E608" s="2898">
        <v>600</v>
      </c>
      <c r="F608" s="2898">
        <v>600</v>
      </c>
      <c r="G608" s="2899">
        <v>0</v>
      </c>
      <c r="H608" s="2892">
        <f t="shared" si="63"/>
        <v>0</v>
      </c>
      <c r="J608" s="444" t="s">
        <v>767</v>
      </c>
    </row>
    <row r="609" spans="1:10" s="506" customFormat="1" ht="15" customHeight="1">
      <c r="A609" s="512"/>
      <c r="B609" s="572"/>
      <c r="C609" s="2902" t="s">
        <v>314</v>
      </c>
      <c r="D609" s="2903" t="s">
        <v>574</v>
      </c>
      <c r="E609" s="2898">
        <v>300</v>
      </c>
      <c r="F609" s="2898">
        <v>300</v>
      </c>
      <c r="G609" s="2899">
        <v>0</v>
      </c>
      <c r="H609" s="2892">
        <f t="shared" si="63"/>
        <v>0</v>
      </c>
      <c r="J609" s="444" t="s">
        <v>767</v>
      </c>
    </row>
    <row r="610" spans="1:10" s="506" customFormat="1" ht="15" customHeight="1">
      <c r="A610" s="512"/>
      <c r="B610" s="572"/>
      <c r="C610" s="2902" t="s">
        <v>319</v>
      </c>
      <c r="D610" s="2903" t="s">
        <v>575</v>
      </c>
      <c r="E610" s="2898">
        <f>17960+57500</f>
        <v>75460</v>
      </c>
      <c r="F610" s="2898">
        <v>46460</v>
      </c>
      <c r="G610" s="2899">
        <v>38736</v>
      </c>
      <c r="H610" s="2892">
        <f t="shared" si="63"/>
        <v>0.83374946190271204</v>
      </c>
      <c r="J610" s="444" t="s">
        <v>768</v>
      </c>
    </row>
    <row r="611" spans="1:10" s="506" customFormat="1" ht="15" customHeight="1">
      <c r="A611" s="514"/>
      <c r="B611" s="572"/>
      <c r="C611" s="2775"/>
      <c r="D611" s="2904"/>
      <c r="E611" s="2898"/>
      <c r="F611" s="2898"/>
      <c r="G611" s="2899"/>
      <c r="H611" s="2892"/>
      <c r="J611" s="444"/>
    </row>
    <row r="612" spans="1:10" s="506" customFormat="1" ht="15" customHeight="1">
      <c r="A612" s="573"/>
      <c r="B612" s="513"/>
      <c r="C612" s="5007" t="s">
        <v>577</v>
      </c>
      <c r="D612" s="5008"/>
      <c r="E612" s="2779">
        <f>SUM(E613:E619)</f>
        <v>16296586</v>
      </c>
      <c r="F612" s="2779">
        <f>SUM(F613:F619)</f>
        <v>17981788</v>
      </c>
      <c r="G612" s="2905">
        <f>SUM(G613:G619)</f>
        <v>17052821.540000003</v>
      </c>
      <c r="H612" s="2892">
        <f t="shared" ref="H612:H619" si="64">G612/F612</f>
        <v>0.94833848224659323</v>
      </c>
      <c r="J612" s="444"/>
    </row>
    <row r="613" spans="1:10" s="506" customFormat="1" ht="15" customHeight="1">
      <c r="A613" s="573"/>
      <c r="B613" s="513"/>
      <c r="C613" s="2906" t="s">
        <v>334</v>
      </c>
      <c r="D613" s="2897" t="s">
        <v>624</v>
      </c>
      <c r="E613" s="2898">
        <f>5923+30000+61000</f>
        <v>96923</v>
      </c>
      <c r="F613" s="2898">
        <v>119175</v>
      </c>
      <c r="G613" s="2899">
        <v>111686.72</v>
      </c>
      <c r="H613" s="2892">
        <f t="shared" si="64"/>
        <v>0.93716568072162787</v>
      </c>
      <c r="J613" s="444" t="s">
        <v>769</v>
      </c>
    </row>
    <row r="614" spans="1:10" s="506" customFormat="1" ht="15" customHeight="1">
      <c r="A614" s="573"/>
      <c r="B614" s="513"/>
      <c r="C614" s="2907" t="s">
        <v>313</v>
      </c>
      <c r="D614" s="2908" t="s">
        <v>579</v>
      </c>
      <c r="E614" s="2898">
        <f>57179+122000+10000+29701+414195</f>
        <v>633075</v>
      </c>
      <c r="F614" s="2898">
        <v>1218158</v>
      </c>
      <c r="G614" s="2899">
        <v>1128709.96</v>
      </c>
      <c r="H614" s="2892">
        <f t="shared" si="64"/>
        <v>0.92657106877761342</v>
      </c>
      <c r="J614" s="444" t="s">
        <v>770</v>
      </c>
    </row>
    <row r="615" spans="1:10" s="506" customFormat="1" ht="15" customHeight="1">
      <c r="A615" s="515"/>
      <c r="B615" s="513"/>
      <c r="C615" s="2909" t="s">
        <v>330</v>
      </c>
      <c r="D615" s="2910" t="s">
        <v>582</v>
      </c>
      <c r="E615" s="2898">
        <v>25000</v>
      </c>
      <c r="F615" s="2898">
        <v>25000</v>
      </c>
      <c r="G615" s="2899">
        <v>24698.7</v>
      </c>
      <c r="H615" s="2892">
        <f t="shared" si="64"/>
        <v>0.98794800000000005</v>
      </c>
      <c r="J615" s="444" t="s">
        <v>696</v>
      </c>
    </row>
    <row r="616" spans="1:10" s="506" customFormat="1" ht="15" customHeight="1">
      <c r="A616" s="573"/>
      <c r="B616" s="513"/>
      <c r="C616" s="2907" t="s">
        <v>312</v>
      </c>
      <c r="D616" s="2911" t="s">
        <v>584</v>
      </c>
      <c r="E616" s="2898">
        <f>35535+560923+110000+178000+13877130+200000</f>
        <v>14961588</v>
      </c>
      <c r="F616" s="2898">
        <v>16096227</v>
      </c>
      <c r="G616" s="2899">
        <v>15418141.92</v>
      </c>
      <c r="H616" s="2892">
        <f t="shared" si="64"/>
        <v>0.95787304192466971</v>
      </c>
      <c r="J616" s="444" t="s">
        <v>770</v>
      </c>
    </row>
    <row r="617" spans="1:10" s="506" customFormat="1" ht="15" customHeight="1">
      <c r="A617" s="573"/>
      <c r="B617" s="513"/>
      <c r="C617" s="2912" t="s">
        <v>683</v>
      </c>
      <c r="D617" s="2908" t="s">
        <v>742</v>
      </c>
      <c r="E617" s="2898">
        <v>30000</v>
      </c>
      <c r="F617" s="2898">
        <v>45000</v>
      </c>
      <c r="G617" s="2899">
        <v>28391.22</v>
      </c>
      <c r="H617" s="2892">
        <f t="shared" si="64"/>
        <v>0.63091600000000003</v>
      </c>
      <c r="J617" s="444" t="s">
        <v>767</v>
      </c>
    </row>
    <row r="618" spans="1:10" s="506" customFormat="1" ht="15" customHeight="1">
      <c r="A618" s="573"/>
      <c r="B618" s="513"/>
      <c r="C618" s="2907" t="s">
        <v>327</v>
      </c>
      <c r="D618" s="2911" t="s">
        <v>586</v>
      </c>
      <c r="E618" s="2898">
        <v>500000</v>
      </c>
      <c r="F618" s="2898">
        <v>428228</v>
      </c>
      <c r="G618" s="2899">
        <v>311428</v>
      </c>
      <c r="H618" s="2892">
        <f t="shared" si="64"/>
        <v>0.7272481014786516</v>
      </c>
      <c r="J618" s="444" t="s">
        <v>696</v>
      </c>
    </row>
    <row r="619" spans="1:10" s="506" customFormat="1" ht="15" customHeight="1">
      <c r="A619" s="573"/>
      <c r="B619" s="513"/>
      <c r="C619" s="2913" t="s">
        <v>590</v>
      </c>
      <c r="D619" s="2914" t="s">
        <v>591</v>
      </c>
      <c r="E619" s="2898">
        <v>50000</v>
      </c>
      <c r="F619" s="2898">
        <v>50000</v>
      </c>
      <c r="G619" s="2899">
        <v>29765.02</v>
      </c>
      <c r="H619" s="2892">
        <f t="shared" si="64"/>
        <v>0.59530040000000006</v>
      </c>
      <c r="J619" s="444" t="s">
        <v>706</v>
      </c>
    </row>
    <row r="620" spans="1:10" s="506" customFormat="1" ht="15" customHeight="1">
      <c r="A620" s="573"/>
      <c r="B620" s="513"/>
      <c r="C620" s="2915"/>
      <c r="D620" s="2915"/>
      <c r="E620" s="2898"/>
      <c r="F620" s="2898"/>
      <c r="G620" s="2899"/>
      <c r="H620" s="2892"/>
      <c r="J620" s="444"/>
    </row>
    <row r="621" spans="1:10" s="506" customFormat="1" ht="15" customHeight="1">
      <c r="A621" s="573"/>
      <c r="B621" s="574"/>
      <c r="C621" s="5009" t="s">
        <v>640</v>
      </c>
      <c r="D621" s="5010"/>
      <c r="E621" s="2772">
        <f>SUM(E622:E623)</f>
        <v>300000</v>
      </c>
      <c r="F621" s="2772">
        <f>SUM(F622:F623)</f>
        <v>342000</v>
      </c>
      <c r="G621" s="2916">
        <f>SUM(G622:G623)</f>
        <v>313082.51</v>
      </c>
      <c r="H621" s="2892">
        <f>G621/F621</f>
        <v>0.91544593567251464</v>
      </c>
      <c r="J621" s="444"/>
    </row>
    <row r="622" spans="1:10" s="506" customFormat="1" ht="39.75" customHeight="1">
      <c r="A622" s="573"/>
      <c r="B622" s="574"/>
      <c r="C622" s="2917" t="s">
        <v>76</v>
      </c>
      <c r="D622" s="2918" t="s">
        <v>771</v>
      </c>
      <c r="E622" s="2898">
        <v>300000</v>
      </c>
      <c r="F622" s="2898">
        <v>330000</v>
      </c>
      <c r="G622" s="2899">
        <v>301082.51</v>
      </c>
      <c r="H622" s="2892">
        <f>G622/F622</f>
        <v>0.9123712424242425</v>
      </c>
      <c r="J622" s="444" t="s">
        <v>767</v>
      </c>
    </row>
    <row r="623" spans="1:10" s="506" customFormat="1" ht="31.5" customHeight="1">
      <c r="A623" s="573"/>
      <c r="B623" s="574"/>
      <c r="C623" s="2837" t="s">
        <v>78</v>
      </c>
      <c r="D623" s="2919" t="s">
        <v>702</v>
      </c>
      <c r="E623" s="2898">
        <v>0</v>
      </c>
      <c r="F623" s="2898">
        <v>12000</v>
      </c>
      <c r="G623" s="2899">
        <v>12000</v>
      </c>
      <c r="H623" s="2892">
        <f>G623/F623</f>
        <v>1</v>
      </c>
      <c r="J623" s="444"/>
    </row>
    <row r="624" spans="1:10" ht="15" customHeight="1">
      <c r="A624" s="575"/>
      <c r="B624" s="576"/>
      <c r="C624" s="576"/>
      <c r="D624" s="577"/>
      <c r="E624" s="2920"/>
      <c r="F624" s="2898"/>
      <c r="G624" s="2899"/>
      <c r="H624" s="2892"/>
    </row>
    <row r="625" spans="1:10" s="506" customFormat="1" ht="15" customHeight="1">
      <c r="A625" s="512"/>
      <c r="B625" s="578"/>
      <c r="C625" s="5029" t="s">
        <v>608</v>
      </c>
      <c r="D625" s="5030"/>
      <c r="E625" s="2898">
        <f>SUM(E626:E635)</f>
        <v>4000000</v>
      </c>
      <c r="F625" s="2898">
        <f>SUM(F626:F635)</f>
        <v>5872570</v>
      </c>
      <c r="G625" s="2899">
        <f>SUM(G626:G635)</f>
        <v>5813267.0699999994</v>
      </c>
      <c r="H625" s="2892">
        <f>G625/F625</f>
        <v>0.98990170742962613</v>
      </c>
      <c r="J625" s="444"/>
    </row>
    <row r="626" spans="1:10" s="506" customFormat="1" ht="15" customHeight="1">
      <c r="A626" s="512"/>
      <c r="B626" s="578"/>
      <c r="C626" s="2921" t="s">
        <v>722</v>
      </c>
      <c r="D626" s="2922" t="s">
        <v>571</v>
      </c>
      <c r="E626" s="2898">
        <v>313486</v>
      </c>
      <c r="F626" s="2898">
        <v>590686</v>
      </c>
      <c r="G626" s="2899">
        <v>589598.16</v>
      </c>
      <c r="H626" s="2892">
        <f>G626/F626</f>
        <v>0.99815834470429299</v>
      </c>
      <c r="J626" s="444"/>
    </row>
    <row r="627" spans="1:10" s="506" customFormat="1" ht="15" customHeight="1">
      <c r="A627" s="514"/>
      <c r="B627" s="572"/>
      <c r="C627" s="2923" t="s">
        <v>723</v>
      </c>
      <c r="D627" s="2924" t="s">
        <v>573</v>
      </c>
      <c r="E627" s="2898">
        <v>56081</v>
      </c>
      <c r="F627" s="2898">
        <v>102271</v>
      </c>
      <c r="G627" s="2899">
        <v>99800.89</v>
      </c>
      <c r="H627" s="2892">
        <f>G627/F627</f>
        <v>0.97584740542284709</v>
      </c>
      <c r="J627" s="444"/>
    </row>
    <row r="628" spans="1:10" s="506" customFormat="1" ht="15" customHeight="1">
      <c r="A628" s="514"/>
      <c r="B628" s="572"/>
      <c r="C628" s="2923" t="s">
        <v>724</v>
      </c>
      <c r="D628" s="2925" t="s">
        <v>574</v>
      </c>
      <c r="E628" s="2898">
        <v>7634</v>
      </c>
      <c r="F628" s="2898">
        <v>14344</v>
      </c>
      <c r="G628" s="2899">
        <v>14224.21</v>
      </c>
      <c r="H628" s="2892">
        <f>G628/F628</f>
        <v>0.99164877300613485</v>
      </c>
      <c r="J628" s="444"/>
    </row>
    <row r="629" spans="1:10" s="506" customFormat="1" ht="15" customHeight="1">
      <c r="A629" s="512"/>
      <c r="B629" s="578"/>
      <c r="C629" s="2923" t="s">
        <v>708</v>
      </c>
      <c r="D629" s="2922" t="s">
        <v>579</v>
      </c>
      <c r="E629" s="2898">
        <v>75321</v>
      </c>
      <c r="F629" s="2898">
        <v>0</v>
      </c>
      <c r="G629" s="2899">
        <v>0</v>
      </c>
      <c r="H629" s="2892"/>
      <c r="J629" s="444"/>
    </row>
    <row r="630" spans="1:10" s="506" customFormat="1" ht="15" customHeight="1" thickBot="1">
      <c r="A630" s="593"/>
      <c r="B630" s="2880"/>
      <c r="C630" s="2926" t="s">
        <v>726</v>
      </c>
      <c r="D630" s="2927" t="s">
        <v>584</v>
      </c>
      <c r="E630" s="567">
        <v>3231784</v>
      </c>
      <c r="F630" s="567">
        <v>5078814</v>
      </c>
      <c r="G630" s="1149">
        <v>5027645.18</v>
      </c>
      <c r="H630" s="2469">
        <f>G630/F630</f>
        <v>0.98992504549290439</v>
      </c>
      <c r="J630" s="444"/>
    </row>
    <row r="631" spans="1:10" s="506" customFormat="1" ht="14.25" customHeight="1">
      <c r="A631" s="2487"/>
      <c r="B631" s="2928"/>
      <c r="C631" s="2539" t="s">
        <v>709</v>
      </c>
      <c r="D631" s="2929" t="s">
        <v>586</v>
      </c>
      <c r="E631" s="2826">
        <v>242630</v>
      </c>
      <c r="F631" s="2826">
        <v>0</v>
      </c>
      <c r="G631" s="2930">
        <v>0</v>
      </c>
      <c r="H631" s="2931"/>
      <c r="J631" s="444"/>
    </row>
    <row r="632" spans="1:10" s="506" customFormat="1" ht="14.25" customHeight="1">
      <c r="A632" s="512"/>
      <c r="B632" s="572"/>
      <c r="C632" s="2951" t="s">
        <v>727</v>
      </c>
      <c r="D632" s="2952" t="s">
        <v>589</v>
      </c>
      <c r="E632" s="2953">
        <v>5000</v>
      </c>
      <c r="F632" s="2953">
        <v>15000</v>
      </c>
      <c r="G632" s="2954">
        <v>13293.25</v>
      </c>
      <c r="H632" s="2955">
        <f>G632/F632</f>
        <v>0.88621666666666665</v>
      </c>
      <c r="J632" s="444"/>
    </row>
    <row r="633" spans="1:10" s="506" customFormat="1" ht="14.25" customHeight="1">
      <c r="A633" s="512"/>
      <c r="B633" s="578"/>
      <c r="C633" s="2923" t="s">
        <v>728</v>
      </c>
      <c r="D633" s="2932" t="s">
        <v>591</v>
      </c>
      <c r="E633" s="2898">
        <v>40000</v>
      </c>
      <c r="F633" s="2898">
        <v>49496</v>
      </c>
      <c r="G633" s="2899">
        <v>47071.93</v>
      </c>
      <c r="H633" s="2955">
        <f>G633/F633</f>
        <v>0.95102493130758037</v>
      </c>
      <c r="J633" s="444"/>
    </row>
    <row r="634" spans="1:10" s="506" customFormat="1" ht="14.25" customHeight="1">
      <c r="A634" s="512"/>
      <c r="B634" s="578"/>
      <c r="C634" s="2923" t="s">
        <v>729</v>
      </c>
      <c r="D634" s="2932" t="s">
        <v>772</v>
      </c>
      <c r="E634" s="2898">
        <v>24564</v>
      </c>
      <c r="F634" s="2898">
        <v>16055</v>
      </c>
      <c r="G634" s="2899">
        <v>16055</v>
      </c>
      <c r="H634" s="2955">
        <f>G634/F634</f>
        <v>1</v>
      </c>
      <c r="J634" s="444"/>
    </row>
    <row r="635" spans="1:10" s="506" customFormat="1" ht="14.25" customHeight="1">
      <c r="A635" s="512"/>
      <c r="B635" s="578"/>
      <c r="C635" s="2923" t="s">
        <v>730</v>
      </c>
      <c r="D635" s="2933" t="s">
        <v>576</v>
      </c>
      <c r="E635" s="2898">
        <v>3500</v>
      </c>
      <c r="F635" s="2898">
        <v>5904</v>
      </c>
      <c r="G635" s="2899">
        <v>5578.45</v>
      </c>
      <c r="H635" s="2955">
        <f>G635/F635</f>
        <v>0.94485941734417345</v>
      </c>
      <c r="J635" s="444"/>
    </row>
    <row r="636" spans="1:10" s="506" customFormat="1" ht="10.5" customHeight="1">
      <c r="A636" s="512"/>
      <c r="B636" s="578"/>
      <c r="C636" s="2934"/>
      <c r="D636" s="2935"/>
      <c r="E636" s="2898"/>
      <c r="F636" s="2898"/>
      <c r="G636" s="2899"/>
      <c r="H636" s="2955"/>
      <c r="J636" s="444"/>
    </row>
    <row r="637" spans="1:10" s="506" customFormat="1" ht="14.25" customHeight="1">
      <c r="A637" s="512"/>
      <c r="B637" s="578"/>
      <c r="C637" s="5031" t="s">
        <v>603</v>
      </c>
      <c r="D637" s="5032"/>
      <c r="E637" s="2936">
        <f>SUM(E638)</f>
        <v>42000</v>
      </c>
      <c r="F637" s="2936">
        <f>SUM(F638)</f>
        <v>42000</v>
      </c>
      <c r="G637" s="2937">
        <f>SUM(G638)</f>
        <v>41918.400000000001</v>
      </c>
      <c r="H637" s="2956">
        <f t="shared" ref="H637:H646" si="65">G637/F637</f>
        <v>0.99805714285714286</v>
      </c>
      <c r="J637" s="444"/>
    </row>
    <row r="638" spans="1:10" s="506" customFormat="1" ht="14.25" customHeight="1">
      <c r="A638" s="512"/>
      <c r="B638" s="578"/>
      <c r="C638" s="5033" t="s">
        <v>604</v>
      </c>
      <c r="D638" s="5034"/>
      <c r="E638" s="2938">
        <f>SUM(E639:E639)</f>
        <v>42000</v>
      </c>
      <c r="F638" s="2938">
        <f>SUM(F639:F639)</f>
        <v>42000</v>
      </c>
      <c r="G638" s="2939">
        <f>SUM(G639:G639)</f>
        <v>41918.400000000001</v>
      </c>
      <c r="H638" s="2955">
        <f t="shared" si="65"/>
        <v>0.99805714285714286</v>
      </c>
      <c r="J638" s="444"/>
    </row>
    <row r="639" spans="1:10" s="506" customFormat="1" ht="14.25" customHeight="1" thickBot="1">
      <c r="A639" s="512"/>
      <c r="B639" s="578"/>
      <c r="C639" s="2940" t="s">
        <v>354</v>
      </c>
      <c r="D639" s="2922" t="s">
        <v>605</v>
      </c>
      <c r="E639" s="2898">
        <v>42000</v>
      </c>
      <c r="F639" s="2898">
        <v>42000</v>
      </c>
      <c r="G639" s="2899">
        <v>41918.400000000001</v>
      </c>
      <c r="H639" s="2955">
        <f t="shared" si="65"/>
        <v>0.99805714285714286</v>
      </c>
      <c r="J639" s="444"/>
    </row>
    <row r="640" spans="1:10" s="506" customFormat="1" ht="14.25" customHeight="1" thickBot="1">
      <c r="A640" s="512"/>
      <c r="B640" s="4416" t="s">
        <v>402</v>
      </c>
      <c r="C640" s="3772"/>
      <c r="D640" s="4417" t="s">
        <v>141</v>
      </c>
      <c r="E640" s="4418">
        <f>SUM(E641)</f>
        <v>254000</v>
      </c>
      <c r="F640" s="4418">
        <f>SUM(F641)</f>
        <v>264198</v>
      </c>
      <c r="G640" s="4419">
        <f>SUM(G641)</f>
        <v>264195.63</v>
      </c>
      <c r="H640" s="4420">
        <f t="shared" si="65"/>
        <v>0.99999102945518137</v>
      </c>
      <c r="J640" s="444"/>
    </row>
    <row r="641" spans="1:10" s="506" customFormat="1" ht="14.25" customHeight="1">
      <c r="A641" s="512"/>
      <c r="B641" s="4421"/>
      <c r="C641" s="5035" t="s">
        <v>567</v>
      </c>
      <c r="D641" s="5036"/>
      <c r="E641" s="4422">
        <f>SUM(E642,E657)</f>
        <v>254000</v>
      </c>
      <c r="F641" s="4422">
        <f>SUM(F642,F657)</f>
        <v>264198</v>
      </c>
      <c r="G641" s="4423">
        <f>SUM(G642,G657)</f>
        <v>264195.63</v>
      </c>
      <c r="H641" s="4424">
        <f t="shared" si="65"/>
        <v>0.99999102945518137</v>
      </c>
      <c r="J641" s="444"/>
    </row>
    <row r="642" spans="1:10" s="506" customFormat="1" ht="14.25" customHeight="1">
      <c r="A642" s="512"/>
      <c r="B642" s="574"/>
      <c r="C642" s="5037" t="s">
        <v>568</v>
      </c>
      <c r="D642" s="5038"/>
      <c r="E642" s="4425">
        <f>SUM(E643,E649)</f>
        <v>247000</v>
      </c>
      <c r="F642" s="4425">
        <f>SUM(F643,F649)</f>
        <v>256955</v>
      </c>
      <c r="G642" s="4426">
        <f>SUM(G643,G649)</f>
        <v>256952.93</v>
      </c>
      <c r="H642" s="4427">
        <f t="shared" si="65"/>
        <v>0.99999194411472825</v>
      </c>
      <c r="J642" s="444"/>
    </row>
    <row r="643" spans="1:10" s="506" customFormat="1" ht="14.25" customHeight="1">
      <c r="A643" s="512"/>
      <c r="B643" s="574"/>
      <c r="C643" s="5039" t="s">
        <v>569</v>
      </c>
      <c r="D643" s="5040"/>
      <c r="E643" s="4428">
        <f>SUM(E644:E647)</f>
        <v>180000</v>
      </c>
      <c r="F643" s="4428">
        <f>SUM(F644:F647)</f>
        <v>222638</v>
      </c>
      <c r="G643" s="4429">
        <f>SUM(G644:G647)</f>
        <v>222637</v>
      </c>
      <c r="H643" s="4427">
        <f t="shared" si="65"/>
        <v>0.99999550840377649</v>
      </c>
      <c r="J643" s="444" t="s">
        <v>767</v>
      </c>
    </row>
    <row r="644" spans="1:10" s="506" customFormat="1" ht="14.25" customHeight="1">
      <c r="A644" s="512"/>
      <c r="B644" s="574"/>
      <c r="C644" s="4451" t="s">
        <v>337</v>
      </c>
      <c r="D644" s="4430" t="s">
        <v>571</v>
      </c>
      <c r="E644" s="4431">
        <v>148780</v>
      </c>
      <c r="F644" s="4431">
        <v>186411</v>
      </c>
      <c r="G644" s="4432">
        <v>186411</v>
      </c>
      <c r="H644" s="4452">
        <f t="shared" si="65"/>
        <v>1</v>
      </c>
      <c r="J644" s="444"/>
    </row>
    <row r="645" spans="1:10" s="506" customFormat="1" ht="14.25" customHeight="1">
      <c r="A645" s="512"/>
      <c r="B645" s="574"/>
      <c r="C645" s="4433" t="s">
        <v>315</v>
      </c>
      <c r="D645" s="4430" t="s">
        <v>573</v>
      </c>
      <c r="E645" s="4431">
        <v>25575</v>
      </c>
      <c r="F645" s="4431">
        <v>31707</v>
      </c>
      <c r="G645" s="4432">
        <v>31706.82</v>
      </c>
      <c r="H645" s="4452">
        <f t="shared" si="65"/>
        <v>0.99999432302015323</v>
      </c>
      <c r="J645" s="444"/>
    </row>
    <row r="646" spans="1:10" s="506" customFormat="1" ht="14.25" customHeight="1">
      <c r="A646" s="512"/>
      <c r="B646" s="574"/>
      <c r="C646" s="4433" t="s">
        <v>314</v>
      </c>
      <c r="D646" s="4430" t="s">
        <v>574</v>
      </c>
      <c r="E646" s="4431">
        <v>3645</v>
      </c>
      <c r="F646" s="4431">
        <v>4520</v>
      </c>
      <c r="G646" s="4432">
        <v>4519.18</v>
      </c>
      <c r="H646" s="4452">
        <f t="shared" si="65"/>
        <v>0.99981858407079649</v>
      </c>
      <c r="J646" s="444"/>
    </row>
    <row r="647" spans="1:10" s="506" customFormat="1" ht="14.25" customHeight="1">
      <c r="A647" s="512"/>
      <c r="B647" s="574"/>
      <c r="C647" s="4433" t="s">
        <v>319</v>
      </c>
      <c r="D647" s="4430" t="s">
        <v>575</v>
      </c>
      <c r="E647" s="4431">
        <v>2000</v>
      </c>
      <c r="F647" s="4431">
        <v>0</v>
      </c>
      <c r="G647" s="4432">
        <v>0</v>
      </c>
      <c r="H647" s="4452"/>
      <c r="J647" s="444"/>
    </row>
    <row r="648" spans="1:10" s="506" customFormat="1" ht="10.5" customHeight="1">
      <c r="A648" s="514"/>
      <c r="B648" s="574"/>
      <c r="C648" s="4434"/>
      <c r="D648" s="4435"/>
      <c r="E648" s="4436"/>
      <c r="F648" s="4436"/>
      <c r="G648" s="4437"/>
      <c r="H648" s="4452"/>
      <c r="J648" s="444"/>
    </row>
    <row r="649" spans="1:10" s="506" customFormat="1" ht="14.25" customHeight="1">
      <c r="A649" s="512"/>
      <c r="B649" s="513"/>
      <c r="C649" s="5019" t="s">
        <v>577</v>
      </c>
      <c r="D649" s="5019"/>
      <c r="E649" s="4453">
        <f>SUM(E650:E655)</f>
        <v>67000</v>
      </c>
      <c r="F649" s="4453">
        <f>SUM(F650:F655)</f>
        <v>34317</v>
      </c>
      <c r="G649" s="4454">
        <f>SUM(G650:G655)</f>
        <v>34315.93</v>
      </c>
      <c r="H649" s="4427">
        <f t="shared" ref="H649:H652" si="66">G649/F649</f>
        <v>0.99996882011830868</v>
      </c>
      <c r="J649" s="444" t="s">
        <v>767</v>
      </c>
    </row>
    <row r="650" spans="1:10" s="506" customFormat="1" ht="14.25" customHeight="1">
      <c r="A650" s="512"/>
      <c r="B650" s="513"/>
      <c r="C650" s="4438" t="s">
        <v>313</v>
      </c>
      <c r="D650" s="4439" t="s">
        <v>579</v>
      </c>
      <c r="E650" s="4431">
        <v>30000</v>
      </c>
      <c r="F650" s="4431">
        <v>25612</v>
      </c>
      <c r="G650" s="4432">
        <v>25611.63</v>
      </c>
      <c r="H650" s="4427">
        <f t="shared" si="66"/>
        <v>0.99998555364672814</v>
      </c>
      <c r="J650" s="444"/>
    </row>
    <row r="651" spans="1:10" s="506" customFormat="1" ht="14.25" customHeight="1">
      <c r="A651" s="512"/>
      <c r="B651" s="513"/>
      <c r="C651" s="4438" t="s">
        <v>333</v>
      </c>
      <c r="D651" s="4439" t="s">
        <v>580</v>
      </c>
      <c r="E651" s="4431">
        <v>1000</v>
      </c>
      <c r="F651" s="4431">
        <v>1000</v>
      </c>
      <c r="G651" s="4432">
        <v>999.3</v>
      </c>
      <c r="H651" s="4427">
        <f t="shared" si="66"/>
        <v>0.99929999999999997</v>
      </c>
      <c r="J651" s="444"/>
    </row>
    <row r="652" spans="1:10" s="506" customFormat="1" ht="14.25" customHeight="1">
      <c r="A652" s="512"/>
      <c r="B652" s="513"/>
      <c r="C652" s="3758" t="s">
        <v>312</v>
      </c>
      <c r="D652" s="3759" t="s">
        <v>584</v>
      </c>
      <c r="E652" s="4431">
        <v>30000</v>
      </c>
      <c r="F652" s="4431">
        <v>7705</v>
      </c>
      <c r="G652" s="4432">
        <v>7705</v>
      </c>
      <c r="H652" s="4427">
        <f t="shared" si="66"/>
        <v>1</v>
      </c>
      <c r="J652" s="444"/>
    </row>
    <row r="653" spans="1:10" s="506" customFormat="1" ht="14.25" customHeight="1">
      <c r="A653" s="512"/>
      <c r="B653" s="513"/>
      <c r="C653" s="563" t="s">
        <v>327</v>
      </c>
      <c r="D653" s="562" t="s">
        <v>586</v>
      </c>
      <c r="E653" s="4431">
        <v>2000</v>
      </c>
      <c r="F653" s="4431">
        <v>0</v>
      </c>
      <c r="G653" s="4432">
        <v>0</v>
      </c>
      <c r="H653" s="4427"/>
      <c r="J653" s="444"/>
    </row>
    <row r="654" spans="1:10" s="506" customFormat="1" ht="14.25" customHeight="1">
      <c r="A654" s="512"/>
      <c r="B654" s="513"/>
      <c r="C654" s="4440" t="s">
        <v>326</v>
      </c>
      <c r="D654" s="3763" t="s">
        <v>589</v>
      </c>
      <c r="E654" s="4431">
        <v>2000</v>
      </c>
      <c r="F654" s="4431">
        <v>0</v>
      </c>
      <c r="G654" s="4432">
        <v>0</v>
      </c>
      <c r="H654" s="4427"/>
      <c r="J654" s="444"/>
    </row>
    <row r="655" spans="1:10" s="506" customFormat="1" ht="14.25" customHeight="1">
      <c r="A655" s="512"/>
      <c r="B655" s="513"/>
      <c r="C655" s="4441" t="s">
        <v>322</v>
      </c>
      <c r="D655" s="4442" t="s">
        <v>772</v>
      </c>
      <c r="E655" s="4431">
        <v>2000</v>
      </c>
      <c r="F655" s="4431">
        <v>0</v>
      </c>
      <c r="G655" s="4432">
        <v>0</v>
      </c>
      <c r="H655" s="4427"/>
      <c r="J655" s="444"/>
    </row>
    <row r="656" spans="1:10" s="506" customFormat="1" ht="9" customHeight="1">
      <c r="A656" s="512"/>
      <c r="B656" s="515"/>
      <c r="C656" s="580"/>
      <c r="D656" s="581"/>
      <c r="E656" s="4436"/>
      <c r="F656" s="4436"/>
      <c r="G656" s="4437"/>
      <c r="H656" s="4427"/>
      <c r="J656" s="444"/>
    </row>
    <row r="657" spans="1:10" s="506" customFormat="1" ht="15" customHeight="1">
      <c r="A657" s="512"/>
      <c r="B657" s="515"/>
      <c r="C657" s="5020" t="s">
        <v>773</v>
      </c>
      <c r="D657" s="5021"/>
      <c r="E657" s="4445">
        <f>SUM(E658)</f>
        <v>7000</v>
      </c>
      <c r="F657" s="4445">
        <f>SUM(F658)</f>
        <v>7243</v>
      </c>
      <c r="G657" s="4446">
        <f>SUM(G658)</f>
        <v>7242.7</v>
      </c>
      <c r="H657" s="4427">
        <f t="shared" ref="H657:H664" si="67">G657/F657</f>
        <v>0.99995858069860555</v>
      </c>
      <c r="J657" s="444" t="s">
        <v>767</v>
      </c>
    </row>
    <row r="658" spans="1:10" s="506" customFormat="1" ht="15" customHeight="1" thickBot="1">
      <c r="A658" s="512"/>
      <c r="B658" s="583"/>
      <c r="C658" s="4443" t="s">
        <v>320</v>
      </c>
      <c r="D658" s="4444" t="s">
        <v>744</v>
      </c>
      <c r="E658" s="567">
        <v>7000</v>
      </c>
      <c r="F658" s="567">
        <v>7243</v>
      </c>
      <c r="G658" s="1149">
        <v>7242.7</v>
      </c>
      <c r="H658" s="1150">
        <f t="shared" si="67"/>
        <v>0.99995858069860555</v>
      </c>
      <c r="J658" s="444"/>
    </row>
    <row r="659" spans="1:10" s="444" customFormat="1" ht="13.5" customHeight="1" thickBot="1">
      <c r="A659" s="5022"/>
      <c r="B659" s="4407" t="s">
        <v>401</v>
      </c>
      <c r="C659" s="4408"/>
      <c r="D659" s="4409" t="s">
        <v>44</v>
      </c>
      <c r="E659" s="3676">
        <f>SUM(E660,E742)</f>
        <v>32325958</v>
      </c>
      <c r="F659" s="3676">
        <f>SUM(F660,F742)</f>
        <v>36724386</v>
      </c>
      <c r="G659" s="3677">
        <f>SUM(G660,G742)</f>
        <v>33472095.240000002</v>
      </c>
      <c r="H659" s="3670">
        <f t="shared" si="67"/>
        <v>0.91144056812821872</v>
      </c>
    </row>
    <row r="660" spans="1:10" s="444" customFormat="1" ht="13.5" customHeight="1">
      <c r="A660" s="5022"/>
      <c r="B660" s="2967"/>
      <c r="C660" s="5023" t="s">
        <v>567</v>
      </c>
      <c r="D660" s="5024"/>
      <c r="E660" s="4410">
        <f>SUM(E661,E679,E682,E685)</f>
        <v>16759744</v>
      </c>
      <c r="F660" s="4410">
        <f>SUM(F661,F679,F682,F685)</f>
        <v>14818901</v>
      </c>
      <c r="G660" s="4411">
        <f>SUM(G661,G679,G682,G685)</f>
        <v>13464337.550000001</v>
      </c>
      <c r="H660" s="4412">
        <f t="shared" si="67"/>
        <v>0.90859217900166822</v>
      </c>
    </row>
    <row r="661" spans="1:10" s="444" customFormat="1" ht="15">
      <c r="A661" s="477"/>
      <c r="B661" s="523"/>
      <c r="C661" s="5025" t="s">
        <v>568</v>
      </c>
      <c r="D661" s="5026"/>
      <c r="E661" s="4447">
        <f>SUM(E662,E666)</f>
        <v>7972955</v>
      </c>
      <c r="F661" s="4447">
        <f>SUM(F662,F666)</f>
        <v>7640143</v>
      </c>
      <c r="G661" s="4448">
        <f>SUM(G662,G666)</f>
        <v>7482274.0600000005</v>
      </c>
      <c r="H661" s="4296">
        <f t="shared" si="67"/>
        <v>0.9793369129347449</v>
      </c>
    </row>
    <row r="662" spans="1:10" s="444" customFormat="1" ht="15">
      <c r="A662" s="477"/>
      <c r="B662" s="523"/>
      <c r="C662" s="5027" t="s">
        <v>569</v>
      </c>
      <c r="D662" s="5028"/>
      <c r="E662" s="4449">
        <f>SUM(E663:E664)</f>
        <v>216200</v>
      </c>
      <c r="F662" s="4449">
        <f>SUM(F663:F664)</f>
        <v>101600</v>
      </c>
      <c r="G662" s="4450">
        <f>SUM(G663:G664)</f>
        <v>72440.7</v>
      </c>
      <c r="H662" s="4296">
        <f t="shared" si="67"/>
        <v>0.71299901574803148</v>
      </c>
    </row>
    <row r="663" spans="1:10" s="444" customFormat="1" ht="14.25" customHeight="1">
      <c r="A663" s="479"/>
      <c r="B663" s="523"/>
      <c r="C663" s="3807" t="s">
        <v>315</v>
      </c>
      <c r="D663" s="4285" t="s">
        <v>573</v>
      </c>
      <c r="E663" s="4413">
        <v>0</v>
      </c>
      <c r="F663" s="4413">
        <v>600</v>
      </c>
      <c r="G663" s="4414">
        <v>515.70000000000005</v>
      </c>
      <c r="H663" s="4296">
        <f t="shared" si="67"/>
        <v>0.85950000000000004</v>
      </c>
    </row>
    <row r="664" spans="1:10" s="444" customFormat="1" ht="14.25" customHeight="1" thickBot="1">
      <c r="A664" s="477"/>
      <c r="B664" s="2957"/>
      <c r="C664" s="4415" t="s">
        <v>319</v>
      </c>
      <c r="D664" s="600" t="s">
        <v>575</v>
      </c>
      <c r="E664" s="608">
        <v>216200</v>
      </c>
      <c r="F664" s="608">
        <v>101000</v>
      </c>
      <c r="G664" s="1309">
        <v>71925</v>
      </c>
      <c r="H664" s="2245">
        <f t="shared" si="67"/>
        <v>0.7121287128712871</v>
      </c>
      <c r="J664" s="444" t="s">
        <v>706</v>
      </c>
    </row>
    <row r="665" spans="1:10" s="444" customFormat="1" ht="13.5" customHeight="1">
      <c r="A665" s="2966"/>
      <c r="B665" s="2967"/>
      <c r="C665" s="2968"/>
      <c r="D665" s="2969"/>
      <c r="E665" s="4455"/>
      <c r="F665" s="4456"/>
      <c r="G665" s="4457"/>
      <c r="H665" s="2970"/>
    </row>
    <row r="666" spans="1:10" s="444" customFormat="1" ht="15">
      <c r="A666" s="477"/>
      <c r="B666" s="584"/>
      <c r="C666" s="5054" t="s">
        <v>577</v>
      </c>
      <c r="D666" s="5055"/>
      <c r="E666" s="4449">
        <f>SUM(E667:E677)</f>
        <v>7756755</v>
      </c>
      <c r="F666" s="4449">
        <f>SUM(F667:F677)</f>
        <v>7538543</v>
      </c>
      <c r="G666" s="4450">
        <f>SUM(G667:G677)</f>
        <v>7409833.3600000003</v>
      </c>
      <c r="H666" s="4296">
        <f t="shared" ref="H666:H677" si="68">G666/F666</f>
        <v>0.98292645674369705</v>
      </c>
    </row>
    <row r="667" spans="1:10" s="444" customFormat="1" ht="15">
      <c r="A667" s="477"/>
      <c r="B667" s="584"/>
      <c r="C667" s="4458" t="s">
        <v>334</v>
      </c>
      <c r="D667" s="4459" t="s">
        <v>624</v>
      </c>
      <c r="E667" s="4413">
        <v>0</v>
      </c>
      <c r="F667" s="4413">
        <v>3776</v>
      </c>
      <c r="G667" s="4414">
        <v>3775.99</v>
      </c>
      <c r="H667" s="4296">
        <f t="shared" si="68"/>
        <v>0.99999735169491522</v>
      </c>
      <c r="J667" s="444" t="s">
        <v>774</v>
      </c>
    </row>
    <row r="668" spans="1:10" s="444" customFormat="1" ht="15">
      <c r="A668" s="477"/>
      <c r="B668" s="584"/>
      <c r="C668" s="4458" t="s">
        <v>313</v>
      </c>
      <c r="D668" s="4460" t="s">
        <v>579</v>
      </c>
      <c r="E668" s="4413">
        <f>15000+85000+5000</f>
        <v>105000</v>
      </c>
      <c r="F668" s="4413">
        <v>42348</v>
      </c>
      <c r="G668" s="4414">
        <v>31558</v>
      </c>
      <c r="H668" s="4296">
        <f t="shared" si="68"/>
        <v>0.7452063851893832</v>
      </c>
      <c r="J668" s="444" t="s">
        <v>774</v>
      </c>
    </row>
    <row r="669" spans="1:10" s="444" customFormat="1" ht="15">
      <c r="A669" s="477"/>
      <c r="B669" s="584"/>
      <c r="C669" s="4458" t="s">
        <v>312</v>
      </c>
      <c r="D669" s="4460" t="s">
        <v>584</v>
      </c>
      <c r="E669" s="4413">
        <v>6511725</v>
      </c>
      <c r="F669" s="4413">
        <f>6602177-5228</f>
        <v>6596949</v>
      </c>
      <c r="G669" s="4414">
        <f>6555539.79-5227.5</f>
        <v>6550312.29</v>
      </c>
      <c r="H669" s="4296">
        <f t="shared" si="68"/>
        <v>0.99293056381063427</v>
      </c>
      <c r="J669" s="444" t="s">
        <v>775</v>
      </c>
    </row>
    <row r="670" spans="1:10" s="444" customFormat="1" ht="15">
      <c r="A670" s="477"/>
      <c r="B670" s="584"/>
      <c r="C670" s="4458" t="s">
        <v>683</v>
      </c>
      <c r="D670" s="4460" t="s">
        <v>742</v>
      </c>
      <c r="E670" s="4413">
        <f>4000+6000</f>
        <v>10000</v>
      </c>
      <c r="F670" s="4413">
        <v>11000</v>
      </c>
      <c r="G670" s="4414">
        <v>10109.44</v>
      </c>
      <c r="H670" s="4296">
        <f t="shared" si="68"/>
        <v>0.91904000000000008</v>
      </c>
      <c r="J670" s="444" t="s">
        <v>776</v>
      </c>
    </row>
    <row r="671" spans="1:10" s="444" customFormat="1" ht="15">
      <c r="A671" s="477"/>
      <c r="B671" s="584"/>
      <c r="C671" s="4458" t="s">
        <v>327</v>
      </c>
      <c r="D671" s="4460" t="s">
        <v>586</v>
      </c>
      <c r="E671" s="4413">
        <f>1000+541850+30000+17768</f>
        <v>590618</v>
      </c>
      <c r="F671" s="4413">
        <v>294352</v>
      </c>
      <c r="G671" s="4414">
        <v>233290</v>
      </c>
      <c r="H671" s="4296">
        <f t="shared" si="68"/>
        <v>0.79255449258031196</v>
      </c>
      <c r="J671" s="444" t="s">
        <v>777</v>
      </c>
    </row>
    <row r="672" spans="1:10" s="444" customFormat="1" ht="15">
      <c r="A672" s="477"/>
      <c r="B672" s="584"/>
      <c r="C672" s="4458" t="s">
        <v>326</v>
      </c>
      <c r="D672" s="4460" t="s">
        <v>589</v>
      </c>
      <c r="E672" s="4413">
        <v>3000</v>
      </c>
      <c r="F672" s="4413">
        <v>1345</v>
      </c>
      <c r="G672" s="4414">
        <v>994.55</v>
      </c>
      <c r="H672" s="4296">
        <f t="shared" si="68"/>
        <v>0.73944237918215605</v>
      </c>
      <c r="J672" s="444" t="s">
        <v>657</v>
      </c>
    </row>
    <row r="673" spans="1:10" s="444" customFormat="1" ht="15">
      <c r="A673" s="477"/>
      <c r="B673" s="584"/>
      <c r="C673" s="3807" t="s">
        <v>590</v>
      </c>
      <c r="D673" s="4285" t="s">
        <v>591</v>
      </c>
      <c r="E673" s="4413">
        <f>25000+6750</f>
        <v>31750</v>
      </c>
      <c r="F673" s="4413">
        <v>8243</v>
      </c>
      <c r="G673" s="4414">
        <v>7471.7</v>
      </c>
      <c r="H673" s="4296">
        <f t="shared" si="68"/>
        <v>0.90642969792551253</v>
      </c>
      <c r="J673" s="444" t="s">
        <v>778</v>
      </c>
    </row>
    <row r="674" spans="1:10" s="444" customFormat="1" ht="15">
      <c r="A674" s="479"/>
      <c r="B674" s="523"/>
      <c r="C674" s="4461" t="s">
        <v>325</v>
      </c>
      <c r="D674" s="4462" t="s">
        <v>592</v>
      </c>
      <c r="E674" s="4463">
        <f>256481+170000</f>
        <v>426481</v>
      </c>
      <c r="F674" s="4463">
        <v>434633</v>
      </c>
      <c r="G674" s="4464">
        <v>434630.68</v>
      </c>
      <c r="H674" s="4296">
        <f t="shared" si="68"/>
        <v>0.99999466216325039</v>
      </c>
      <c r="J674" s="444" t="s">
        <v>779</v>
      </c>
    </row>
    <row r="675" spans="1:10" s="444" customFormat="1" ht="15">
      <c r="A675" s="477"/>
      <c r="B675" s="584"/>
      <c r="C675" s="4458" t="s">
        <v>780</v>
      </c>
      <c r="D675" s="4460" t="s">
        <v>781</v>
      </c>
      <c r="E675" s="4413">
        <f>15000+50000</f>
        <v>65000</v>
      </c>
      <c r="F675" s="4413">
        <v>58878</v>
      </c>
      <c r="G675" s="4414">
        <v>58877.5</v>
      </c>
      <c r="H675" s="4296">
        <f t="shared" si="68"/>
        <v>0.99999150786371815</v>
      </c>
      <c r="J675" s="444" t="s">
        <v>776</v>
      </c>
    </row>
    <row r="676" spans="1:10" s="444" customFormat="1" ht="15">
      <c r="A676" s="477"/>
      <c r="B676" s="584"/>
      <c r="C676" s="4458" t="s">
        <v>686</v>
      </c>
      <c r="D676" s="4460" t="s">
        <v>687</v>
      </c>
      <c r="E676" s="4413">
        <v>0</v>
      </c>
      <c r="F676" s="4413">
        <v>54902</v>
      </c>
      <c r="G676" s="4414">
        <v>54877.21</v>
      </c>
      <c r="H676" s="4296">
        <f t="shared" si="68"/>
        <v>0.99954846817966558</v>
      </c>
    </row>
    <row r="677" spans="1:10" s="444" customFormat="1" ht="15">
      <c r="A677" s="477"/>
      <c r="B677" s="584"/>
      <c r="C677" s="4458" t="s">
        <v>647</v>
      </c>
      <c r="D677" s="4460" t="s">
        <v>648</v>
      </c>
      <c r="E677" s="4413">
        <f>5000+8181</f>
        <v>13181</v>
      </c>
      <c r="F677" s="4413">
        <v>32117</v>
      </c>
      <c r="G677" s="4414">
        <v>23936</v>
      </c>
      <c r="H677" s="4296">
        <f t="shared" si="68"/>
        <v>0.74527508795964759</v>
      </c>
      <c r="J677" s="444" t="s">
        <v>782</v>
      </c>
    </row>
    <row r="678" spans="1:10" s="444" customFormat="1" ht="15">
      <c r="A678" s="477"/>
      <c r="B678" s="584"/>
      <c r="C678" s="4465"/>
      <c r="D678" s="4466"/>
      <c r="E678" s="4413"/>
      <c r="F678" s="4467"/>
      <c r="G678" s="4468"/>
      <c r="H678" s="4469"/>
    </row>
    <row r="679" spans="1:10" s="444" customFormat="1" ht="15">
      <c r="A679" s="477"/>
      <c r="B679" s="584"/>
      <c r="C679" s="5056" t="s">
        <v>640</v>
      </c>
      <c r="D679" s="5057"/>
      <c r="E679" s="4413">
        <f>SUM(E680)</f>
        <v>0</v>
      </c>
      <c r="F679" s="4413">
        <f>SUM(F680)</f>
        <v>15000</v>
      </c>
      <c r="G679" s="4414">
        <f>SUM(G680)</f>
        <v>15000</v>
      </c>
      <c r="H679" s="2255">
        <f>G679/F679</f>
        <v>1</v>
      </c>
    </row>
    <row r="680" spans="1:10" s="444" customFormat="1" ht="30.75" customHeight="1">
      <c r="A680" s="477"/>
      <c r="B680" s="584"/>
      <c r="C680" s="4470" t="s">
        <v>78</v>
      </c>
      <c r="D680" s="4471" t="s">
        <v>702</v>
      </c>
      <c r="E680" s="4413">
        <v>0</v>
      </c>
      <c r="F680" s="4413">
        <v>15000</v>
      </c>
      <c r="G680" s="4414">
        <v>15000</v>
      </c>
      <c r="H680" s="2255">
        <f>G680/F680</f>
        <v>1</v>
      </c>
    </row>
    <row r="681" spans="1:10" s="444" customFormat="1" ht="14.25" customHeight="1">
      <c r="A681" s="477"/>
      <c r="B681" s="584"/>
      <c r="C681" s="4472"/>
      <c r="D681" s="4473"/>
      <c r="E681" s="4413"/>
      <c r="F681" s="4467"/>
      <c r="G681" s="4468"/>
      <c r="H681" s="4474"/>
    </row>
    <row r="682" spans="1:10" s="444" customFormat="1" ht="14.25" customHeight="1">
      <c r="A682" s="477"/>
      <c r="B682" s="584"/>
      <c r="C682" s="5058" t="s">
        <v>773</v>
      </c>
      <c r="D682" s="5059"/>
      <c r="E682" s="4475">
        <f>SUM(E683)</f>
        <v>5200</v>
      </c>
      <c r="F682" s="4475">
        <f>SUM(F683)</f>
        <v>5200</v>
      </c>
      <c r="G682" s="4476">
        <f>SUM(G683)</f>
        <v>4074.22</v>
      </c>
      <c r="H682" s="2255">
        <f>G682/F682</f>
        <v>0.78350384615384616</v>
      </c>
    </row>
    <row r="683" spans="1:10" s="444" customFormat="1" ht="14.25" customHeight="1">
      <c r="A683" s="477"/>
      <c r="B683" s="584"/>
      <c r="C683" s="4458" t="s">
        <v>320</v>
      </c>
      <c r="D683" s="4460" t="s">
        <v>744</v>
      </c>
      <c r="E683" s="4413">
        <v>5200</v>
      </c>
      <c r="F683" s="4413">
        <v>5200</v>
      </c>
      <c r="G683" s="4414">
        <v>4074.22</v>
      </c>
      <c r="H683" s="2255">
        <f>G683/F683</f>
        <v>0.78350384615384616</v>
      </c>
      <c r="J683" s="444" t="s">
        <v>783</v>
      </c>
    </row>
    <row r="684" spans="1:10" s="444" customFormat="1" ht="14.25" customHeight="1">
      <c r="A684" s="477"/>
      <c r="B684" s="523"/>
      <c r="C684" s="5060"/>
      <c r="D684" s="5061"/>
      <c r="E684" s="4413"/>
      <c r="F684" s="4467"/>
      <c r="G684" s="4468"/>
      <c r="H684" s="4474"/>
    </row>
    <row r="685" spans="1:10" s="444" customFormat="1" ht="14.25" customHeight="1">
      <c r="A685" s="479"/>
      <c r="B685" s="523"/>
      <c r="C685" s="5062" t="s">
        <v>608</v>
      </c>
      <c r="D685" s="5063"/>
      <c r="E685" s="4447">
        <f>SUM(E686:E740)</f>
        <v>8781589</v>
      </c>
      <c r="F685" s="4447">
        <f>SUM(F686:F740)</f>
        <v>7158558</v>
      </c>
      <c r="G685" s="4448">
        <f>SUM(G686:G740)</f>
        <v>5962989.2700000005</v>
      </c>
      <c r="H685" s="4296">
        <f t="shared" ref="H685:H740" si="69">G685/F685</f>
        <v>0.83298749133554562</v>
      </c>
      <c r="J685" s="444" t="s">
        <v>706</v>
      </c>
    </row>
    <row r="686" spans="1:10" s="444" customFormat="1" ht="58.5" customHeight="1">
      <c r="A686" s="477"/>
      <c r="B686" s="584"/>
      <c r="C686" s="3658" t="s">
        <v>143</v>
      </c>
      <c r="D686" s="4477" t="s">
        <v>610</v>
      </c>
      <c r="E686" s="4478">
        <v>290967</v>
      </c>
      <c r="F686" s="4478">
        <v>531753</v>
      </c>
      <c r="G686" s="4479">
        <v>233055.3</v>
      </c>
      <c r="H686" s="2255">
        <f t="shared" si="69"/>
        <v>0.43827735809671031</v>
      </c>
    </row>
    <row r="687" spans="1:10" s="444" customFormat="1" ht="52.5" customHeight="1">
      <c r="A687" s="477"/>
      <c r="B687" s="523"/>
      <c r="C687" s="3658" t="s">
        <v>611</v>
      </c>
      <c r="D687" s="4480" t="s">
        <v>610</v>
      </c>
      <c r="E687" s="4478">
        <v>17618</v>
      </c>
      <c r="F687" s="4478">
        <v>32202</v>
      </c>
      <c r="G687" s="4479">
        <v>14113.33</v>
      </c>
      <c r="H687" s="2255">
        <f t="shared" si="69"/>
        <v>0.43827495186634369</v>
      </c>
    </row>
    <row r="688" spans="1:10" s="444" customFormat="1" ht="53.25" customHeight="1" thickBot="1">
      <c r="A688" s="502"/>
      <c r="B688" s="2974"/>
      <c r="C688" s="2975" t="s">
        <v>200</v>
      </c>
      <c r="D688" s="607" t="s">
        <v>784</v>
      </c>
      <c r="E688" s="2976">
        <v>2484113</v>
      </c>
      <c r="F688" s="2976">
        <v>1478531</v>
      </c>
      <c r="G688" s="2977">
        <v>1429901.75</v>
      </c>
      <c r="H688" s="2245">
        <f t="shared" si="69"/>
        <v>0.96710975285604428</v>
      </c>
    </row>
    <row r="689" spans="1:10" s="444" customFormat="1" ht="51">
      <c r="A689" s="2966"/>
      <c r="B689" s="2967"/>
      <c r="C689" s="2982" t="s">
        <v>138</v>
      </c>
      <c r="D689" s="2983" t="s">
        <v>784</v>
      </c>
      <c r="E689" s="2984">
        <v>150432</v>
      </c>
      <c r="F689" s="2984">
        <v>89537</v>
      </c>
      <c r="G689" s="2985">
        <v>86591.8</v>
      </c>
      <c r="H689" s="2848">
        <f t="shared" si="69"/>
        <v>0.96710633592816386</v>
      </c>
    </row>
    <row r="690" spans="1:10" s="444" customFormat="1" ht="51">
      <c r="A690" s="477"/>
      <c r="B690" s="523"/>
      <c r="C690" s="2958" t="s">
        <v>785</v>
      </c>
      <c r="D690" s="2973" t="s">
        <v>786</v>
      </c>
      <c r="E690" s="2949">
        <v>0</v>
      </c>
      <c r="F690" s="2949">
        <v>3162</v>
      </c>
      <c r="G690" s="2950">
        <v>3160.31</v>
      </c>
      <c r="H690" s="2972">
        <f t="shared" si="69"/>
        <v>0.9994655281467425</v>
      </c>
    </row>
    <row r="691" spans="1:10" s="444" customFormat="1" ht="51">
      <c r="A691" s="477"/>
      <c r="B691" s="523"/>
      <c r="C691" s="2963" t="s">
        <v>210</v>
      </c>
      <c r="D691" s="2973" t="s">
        <v>786</v>
      </c>
      <c r="E691" s="2949">
        <v>0</v>
      </c>
      <c r="F691" s="2949">
        <v>558</v>
      </c>
      <c r="G691" s="2950">
        <v>557.70000000000005</v>
      </c>
      <c r="H691" s="2972">
        <f t="shared" si="69"/>
        <v>0.99946236559139789</v>
      </c>
    </row>
    <row r="692" spans="1:10" s="444" customFormat="1" ht="15">
      <c r="A692" s="479"/>
      <c r="B692" s="523"/>
      <c r="C692" s="2963" t="s">
        <v>655</v>
      </c>
      <c r="D692" s="2973" t="s">
        <v>656</v>
      </c>
      <c r="E692" s="2949">
        <v>0</v>
      </c>
      <c r="F692" s="2949">
        <v>21281</v>
      </c>
      <c r="G692" s="2950">
        <v>21280.5</v>
      </c>
      <c r="H692" s="2972">
        <f t="shared" si="69"/>
        <v>0.99997650486349321</v>
      </c>
    </row>
    <row r="693" spans="1:10" s="444" customFormat="1" ht="15">
      <c r="A693" s="477"/>
      <c r="B693" s="523"/>
      <c r="C693" s="2963" t="s">
        <v>211</v>
      </c>
      <c r="D693" s="2973" t="s">
        <v>656</v>
      </c>
      <c r="E693" s="2949">
        <v>0</v>
      </c>
      <c r="F693" s="2949">
        <v>1445</v>
      </c>
      <c r="G693" s="2950">
        <v>1444.8</v>
      </c>
      <c r="H693" s="2972">
        <f t="shared" si="69"/>
        <v>0.99986159169550171</v>
      </c>
    </row>
    <row r="694" spans="1:10" s="444" customFormat="1" ht="15">
      <c r="A694" s="477"/>
      <c r="B694" s="523"/>
      <c r="C694" s="2978" t="s">
        <v>722</v>
      </c>
      <c r="D694" s="2961" t="s">
        <v>571</v>
      </c>
      <c r="E694" s="2964">
        <v>18991</v>
      </c>
      <c r="F694" s="2964">
        <v>222900</v>
      </c>
      <c r="G694" s="2965">
        <v>212104.8</v>
      </c>
      <c r="H694" s="2972">
        <f t="shared" si="69"/>
        <v>0.95156931359353969</v>
      </c>
    </row>
    <row r="695" spans="1:10" s="444" customFormat="1" ht="15">
      <c r="A695" s="477"/>
      <c r="B695" s="523"/>
      <c r="C695" s="2978" t="s">
        <v>613</v>
      </c>
      <c r="D695" s="2961" t="s">
        <v>571</v>
      </c>
      <c r="E695" s="2964">
        <f>73732+379080+400000</f>
        <v>852812</v>
      </c>
      <c r="F695" s="2964">
        <v>1560234</v>
      </c>
      <c r="G695" s="2965">
        <v>1482448.73</v>
      </c>
      <c r="H695" s="2972">
        <f t="shared" si="69"/>
        <v>0.95014512566704734</v>
      </c>
      <c r="J695" s="444" t="s">
        <v>787</v>
      </c>
    </row>
    <row r="696" spans="1:10" s="444" customFormat="1" ht="15">
      <c r="A696" s="477"/>
      <c r="B696" s="523"/>
      <c r="C696" s="2960" t="s">
        <v>614</v>
      </c>
      <c r="D696" s="2961" t="s">
        <v>571</v>
      </c>
      <c r="E696" s="2964">
        <f>1151+13011+66897</f>
        <v>81059</v>
      </c>
      <c r="F696" s="2964">
        <v>293538</v>
      </c>
      <c r="G696" s="2965">
        <v>290399.08</v>
      </c>
      <c r="H696" s="2972">
        <f t="shared" si="69"/>
        <v>0.98930659744223926</v>
      </c>
      <c r="J696" s="444" t="s">
        <v>788</v>
      </c>
    </row>
    <row r="697" spans="1:10" s="444" customFormat="1" ht="15">
      <c r="A697" s="477"/>
      <c r="B697" s="523"/>
      <c r="C697" s="2947" t="s">
        <v>615</v>
      </c>
      <c r="D697" s="2948" t="s">
        <v>572</v>
      </c>
      <c r="E697" s="2243">
        <f>5950+84745+30000</f>
        <v>120695</v>
      </c>
      <c r="F697" s="2243">
        <v>104154</v>
      </c>
      <c r="G697" s="2244">
        <v>91556.29</v>
      </c>
      <c r="H697" s="2972">
        <f t="shared" si="69"/>
        <v>0.87904727614877964</v>
      </c>
      <c r="J697" s="444" t="s">
        <v>789</v>
      </c>
    </row>
    <row r="698" spans="1:10" s="444" customFormat="1" ht="15">
      <c r="A698" s="477"/>
      <c r="B698" s="523"/>
      <c r="C698" s="2978" t="s">
        <v>616</v>
      </c>
      <c r="D698" s="2979" t="s">
        <v>572</v>
      </c>
      <c r="E698" s="2243">
        <f>1050+14955</f>
        <v>16005</v>
      </c>
      <c r="F698" s="2243">
        <v>13086</v>
      </c>
      <c r="G698" s="2244">
        <v>12682.07</v>
      </c>
      <c r="H698" s="2972">
        <f t="shared" si="69"/>
        <v>0.96913266085893324</v>
      </c>
      <c r="J698" s="444" t="s">
        <v>657</v>
      </c>
    </row>
    <row r="699" spans="1:10" s="444" customFormat="1" ht="15">
      <c r="A699" s="477"/>
      <c r="B699" s="523"/>
      <c r="C699" s="2960" t="s">
        <v>723</v>
      </c>
      <c r="D699" s="2961" t="s">
        <v>573</v>
      </c>
      <c r="E699" s="2986">
        <v>3265</v>
      </c>
      <c r="F699" s="2986">
        <v>32130</v>
      </c>
      <c r="G699" s="2987">
        <v>30278.1</v>
      </c>
      <c r="H699" s="2972">
        <f t="shared" si="69"/>
        <v>0.94236227824463115</v>
      </c>
    </row>
    <row r="700" spans="1:10" s="444" customFormat="1" ht="15">
      <c r="A700" s="477"/>
      <c r="B700" s="523"/>
      <c r="C700" s="2960" t="s">
        <v>617</v>
      </c>
      <c r="D700" s="2961" t="s">
        <v>573</v>
      </c>
      <c r="E700" s="2986">
        <f>12674+75626+70000</f>
        <v>158300</v>
      </c>
      <c r="F700" s="2986">
        <v>281906</v>
      </c>
      <c r="G700" s="2987">
        <v>269305.28999999998</v>
      </c>
      <c r="H700" s="2972">
        <f t="shared" si="69"/>
        <v>0.95530173178293465</v>
      </c>
      <c r="J700" s="444" t="s">
        <v>787</v>
      </c>
    </row>
    <row r="701" spans="1:10" s="444" customFormat="1" ht="15">
      <c r="A701" s="477"/>
      <c r="B701" s="523"/>
      <c r="C701" s="2960" t="s">
        <v>618</v>
      </c>
      <c r="D701" s="2961" t="s">
        <v>573</v>
      </c>
      <c r="E701" s="2986">
        <f>198+2237+13346</f>
        <v>15781</v>
      </c>
      <c r="F701" s="2986">
        <v>51464</v>
      </c>
      <c r="G701" s="2987">
        <v>50728.27</v>
      </c>
      <c r="H701" s="2972">
        <f t="shared" si="69"/>
        <v>0.9857039872532255</v>
      </c>
      <c r="J701" s="444" t="s">
        <v>788</v>
      </c>
    </row>
    <row r="702" spans="1:10" s="444" customFormat="1" ht="15">
      <c r="A702" s="477"/>
      <c r="B702" s="523"/>
      <c r="C702" s="2960" t="s">
        <v>724</v>
      </c>
      <c r="D702" s="2961" t="s">
        <v>574</v>
      </c>
      <c r="E702" s="2986">
        <v>466</v>
      </c>
      <c r="F702" s="2986">
        <v>4582</v>
      </c>
      <c r="G702" s="2987">
        <v>4207.5</v>
      </c>
      <c r="H702" s="2972">
        <f t="shared" si="69"/>
        <v>0.91826713225665646</v>
      </c>
    </row>
    <row r="703" spans="1:10" s="444" customFormat="1" ht="15">
      <c r="A703" s="477"/>
      <c r="B703" s="523"/>
      <c r="C703" s="2960" t="s">
        <v>619</v>
      </c>
      <c r="D703" s="2961" t="s">
        <v>574</v>
      </c>
      <c r="E703" s="2986">
        <f>1806+9463+10000</f>
        <v>21269</v>
      </c>
      <c r="F703" s="2986">
        <v>41352</v>
      </c>
      <c r="G703" s="2987">
        <v>37631.199999999997</v>
      </c>
      <c r="H703" s="2972">
        <f t="shared" si="69"/>
        <v>0.91002128071193644</v>
      </c>
      <c r="J703" s="444" t="s">
        <v>787</v>
      </c>
    </row>
    <row r="704" spans="1:10" s="444" customFormat="1" ht="15">
      <c r="A704" s="477"/>
      <c r="B704" s="523"/>
      <c r="C704" s="2960" t="s">
        <v>620</v>
      </c>
      <c r="D704" s="2961" t="s">
        <v>574</v>
      </c>
      <c r="E704" s="2986">
        <f>29+319+1670</f>
        <v>2018</v>
      </c>
      <c r="F704" s="2986">
        <v>7562</v>
      </c>
      <c r="G704" s="2987">
        <v>7069.57</v>
      </c>
      <c r="H704" s="2972">
        <f t="shared" si="69"/>
        <v>0.93488098386670193</v>
      </c>
      <c r="J704" s="444" t="s">
        <v>788</v>
      </c>
    </row>
    <row r="705" spans="1:10" s="444" customFormat="1" ht="15">
      <c r="A705" s="477"/>
      <c r="B705" s="523"/>
      <c r="C705" s="2960" t="s">
        <v>725</v>
      </c>
      <c r="D705" s="2961" t="s">
        <v>575</v>
      </c>
      <c r="E705" s="2243">
        <v>0</v>
      </c>
      <c r="F705" s="2243">
        <v>8487</v>
      </c>
      <c r="G705" s="2244">
        <v>8486.1</v>
      </c>
      <c r="H705" s="2972">
        <f t="shared" si="69"/>
        <v>0.99989395546129378</v>
      </c>
    </row>
    <row r="706" spans="1:10" s="444" customFormat="1" ht="15">
      <c r="A706" s="477"/>
      <c r="B706" s="523"/>
      <c r="C706" s="2960" t="s">
        <v>622</v>
      </c>
      <c r="D706" s="2961" t="s">
        <v>575</v>
      </c>
      <c r="E706" s="2243">
        <v>0</v>
      </c>
      <c r="F706" s="2243">
        <v>514</v>
      </c>
      <c r="G706" s="2244">
        <v>513.9</v>
      </c>
      <c r="H706" s="2972">
        <f t="shared" si="69"/>
        <v>0.99980544747081712</v>
      </c>
    </row>
    <row r="707" spans="1:10" s="444" customFormat="1" ht="15">
      <c r="A707" s="477"/>
      <c r="B707" s="523"/>
      <c r="C707" s="2960" t="s">
        <v>708</v>
      </c>
      <c r="D707" s="2961" t="s">
        <v>579</v>
      </c>
      <c r="E707" s="2243">
        <v>258485</v>
      </c>
      <c r="F707" s="2243">
        <v>262687</v>
      </c>
      <c r="G707" s="2244">
        <v>253257.32</v>
      </c>
      <c r="H707" s="2972">
        <f t="shared" si="69"/>
        <v>0.96410298187576848</v>
      </c>
    </row>
    <row r="708" spans="1:10" s="444" customFormat="1" ht="15">
      <c r="A708" s="477"/>
      <c r="B708" s="523"/>
      <c r="C708" s="2960" t="s">
        <v>626</v>
      </c>
      <c r="D708" s="2961" t="s">
        <v>579</v>
      </c>
      <c r="E708" s="2243">
        <f>7207+150000</f>
        <v>157207</v>
      </c>
      <c r="F708" s="2243">
        <v>191395</v>
      </c>
      <c r="G708" s="2244">
        <v>101158.62</v>
      </c>
      <c r="H708" s="2972">
        <f t="shared" si="69"/>
        <v>0.52853324277018732</v>
      </c>
      <c r="J708" s="444" t="s">
        <v>789</v>
      </c>
    </row>
    <row r="709" spans="1:10" s="444" customFormat="1" ht="15">
      <c r="A709" s="477"/>
      <c r="B709" s="523"/>
      <c r="C709" s="2960" t="s">
        <v>627</v>
      </c>
      <c r="D709" s="2961" t="s">
        <v>579</v>
      </c>
      <c r="E709" s="2243">
        <f>47502+1271</f>
        <v>48773</v>
      </c>
      <c r="F709" s="2243">
        <v>69093</v>
      </c>
      <c r="G709" s="2244">
        <v>64115.58</v>
      </c>
      <c r="H709" s="2972">
        <f t="shared" si="69"/>
        <v>0.92796057487733929</v>
      </c>
      <c r="J709" s="444" t="s">
        <v>657</v>
      </c>
    </row>
    <row r="710" spans="1:10" s="444" customFormat="1" ht="15">
      <c r="A710" s="477"/>
      <c r="B710" s="523"/>
      <c r="C710" s="2960" t="s">
        <v>790</v>
      </c>
      <c r="D710" s="2961" t="s">
        <v>580</v>
      </c>
      <c r="E710" s="2243">
        <v>4000</v>
      </c>
      <c r="F710" s="2243">
        <v>9261</v>
      </c>
      <c r="G710" s="2244">
        <v>5222.07</v>
      </c>
      <c r="H710" s="2972">
        <f t="shared" si="69"/>
        <v>0.56387755102040815</v>
      </c>
      <c r="J710" s="444" t="s">
        <v>791</v>
      </c>
    </row>
    <row r="711" spans="1:10" s="444" customFormat="1" ht="15">
      <c r="A711" s="477"/>
      <c r="B711" s="523"/>
      <c r="C711" s="2960" t="s">
        <v>792</v>
      </c>
      <c r="D711" s="2961" t="s">
        <v>580</v>
      </c>
      <c r="E711" s="2243">
        <v>0</v>
      </c>
      <c r="F711" s="2243">
        <v>1239</v>
      </c>
      <c r="G711" s="2244">
        <v>1232.0999999999999</v>
      </c>
      <c r="H711" s="2972">
        <f t="shared" si="69"/>
        <v>0.99443099273607738</v>
      </c>
    </row>
    <row r="712" spans="1:10" s="444" customFormat="1" ht="15">
      <c r="A712" s="477"/>
      <c r="B712" s="523"/>
      <c r="C712" s="2960" t="s">
        <v>752</v>
      </c>
      <c r="D712" s="2961" t="s">
        <v>581</v>
      </c>
      <c r="E712" s="2243">
        <v>10815</v>
      </c>
      <c r="F712" s="2243">
        <v>26863</v>
      </c>
      <c r="G712" s="2244">
        <v>14770.12</v>
      </c>
      <c r="H712" s="2972">
        <f t="shared" si="69"/>
        <v>0.54983136656367493</v>
      </c>
      <c r="J712" s="444" t="s">
        <v>793</v>
      </c>
    </row>
    <row r="713" spans="1:10" s="444" customFormat="1" ht="15.75" thickBot="1">
      <c r="A713" s="501"/>
      <c r="B713" s="2957"/>
      <c r="C713" s="2988" t="s">
        <v>753</v>
      </c>
      <c r="D713" s="2989" t="s">
        <v>581</v>
      </c>
      <c r="E713" s="2262">
        <v>1908</v>
      </c>
      <c r="F713" s="2262">
        <v>5860</v>
      </c>
      <c r="G713" s="2263">
        <v>3051.7</v>
      </c>
      <c r="H713" s="2245">
        <f t="shared" si="69"/>
        <v>0.52076791808873713</v>
      </c>
      <c r="J713" s="444" t="s">
        <v>793</v>
      </c>
    </row>
    <row r="714" spans="1:10" s="444" customFormat="1" ht="15">
      <c r="A714" s="500"/>
      <c r="B714" s="2967"/>
      <c r="C714" s="2990" t="s">
        <v>628</v>
      </c>
      <c r="D714" s="2991" t="s">
        <v>582</v>
      </c>
      <c r="E714" s="2992">
        <v>0</v>
      </c>
      <c r="F714" s="2992">
        <v>1275</v>
      </c>
      <c r="G714" s="2993">
        <v>888.67</v>
      </c>
      <c r="H714" s="2994">
        <f t="shared" si="69"/>
        <v>0.69699607843137257</v>
      </c>
    </row>
    <row r="715" spans="1:10" s="444" customFormat="1" ht="15">
      <c r="A715" s="477"/>
      <c r="B715" s="523"/>
      <c r="C715" s="2960" t="s">
        <v>629</v>
      </c>
      <c r="D715" s="2961" t="s">
        <v>582</v>
      </c>
      <c r="E715" s="2949">
        <v>0</v>
      </c>
      <c r="F715" s="2949">
        <v>225</v>
      </c>
      <c r="G715" s="2995">
        <v>156.83000000000001</v>
      </c>
      <c r="H715" s="2972">
        <f t="shared" si="69"/>
        <v>0.69702222222222232</v>
      </c>
    </row>
    <row r="716" spans="1:10" s="444" customFormat="1" ht="15">
      <c r="A716" s="543"/>
      <c r="B716" s="523"/>
      <c r="C716" s="2996" t="s">
        <v>312</v>
      </c>
      <c r="D716" s="2997" t="s">
        <v>584</v>
      </c>
      <c r="E716" s="2980"/>
      <c r="F716" s="2980">
        <v>5228</v>
      </c>
      <c r="G716" s="2950">
        <v>5227.5</v>
      </c>
      <c r="H716" s="2972">
        <f t="shared" si="69"/>
        <v>0.99990436113236414</v>
      </c>
    </row>
    <row r="717" spans="1:10" s="444" customFormat="1" ht="15">
      <c r="A717" s="479"/>
      <c r="B717" s="523"/>
      <c r="C717" s="2978" t="s">
        <v>726</v>
      </c>
      <c r="D717" s="2979" t="s">
        <v>584</v>
      </c>
      <c r="E717" s="2980">
        <v>65060</v>
      </c>
      <c r="F717" s="2980">
        <v>309809</v>
      </c>
      <c r="G717" s="2981">
        <v>224491.33</v>
      </c>
      <c r="H717" s="2972">
        <f t="shared" si="69"/>
        <v>0.72461203515714512</v>
      </c>
    </row>
    <row r="718" spans="1:10" s="444" customFormat="1" ht="15">
      <c r="A718" s="477"/>
      <c r="B718" s="523"/>
      <c r="C718" s="2960" t="s">
        <v>630</v>
      </c>
      <c r="D718" s="2961" t="s">
        <v>584</v>
      </c>
      <c r="E718" s="2243">
        <f>2669433+34680+35870+675000</f>
        <v>3414983</v>
      </c>
      <c r="F718" s="2243">
        <v>1189737</v>
      </c>
      <c r="G718" s="2244">
        <v>818120.1</v>
      </c>
      <c r="H718" s="2972">
        <f t="shared" si="69"/>
        <v>0.68764785830818065</v>
      </c>
      <c r="J718" s="444" t="s">
        <v>794</v>
      </c>
    </row>
    <row r="719" spans="1:10" s="444" customFormat="1" ht="15">
      <c r="A719" s="477"/>
      <c r="B719" s="523"/>
      <c r="C719" s="2960" t="s">
        <v>631</v>
      </c>
      <c r="D719" s="2961" t="s">
        <v>584</v>
      </c>
      <c r="E719" s="2243">
        <f>3940+471076+6120+6330</f>
        <v>487466</v>
      </c>
      <c r="F719" s="2243">
        <v>57761</v>
      </c>
      <c r="G719" s="2244">
        <v>47651.79</v>
      </c>
      <c r="H719" s="2972">
        <f t="shared" si="69"/>
        <v>0.82498208133515694</v>
      </c>
      <c r="J719" s="444" t="s">
        <v>795</v>
      </c>
    </row>
    <row r="720" spans="1:10" s="444" customFormat="1" ht="15">
      <c r="A720" s="477"/>
      <c r="B720" s="523"/>
      <c r="C720" s="2960" t="s">
        <v>796</v>
      </c>
      <c r="D720" s="2961" t="s">
        <v>585</v>
      </c>
      <c r="E720" s="2243">
        <f>1020+5000</f>
        <v>6020</v>
      </c>
      <c r="F720" s="2243">
        <v>16573</v>
      </c>
      <c r="G720" s="2244">
        <v>6214.57</v>
      </c>
      <c r="H720" s="2972">
        <f t="shared" si="69"/>
        <v>0.37498159657273877</v>
      </c>
      <c r="J720" s="444" t="s">
        <v>797</v>
      </c>
    </row>
    <row r="721" spans="1:10" s="444" customFormat="1" ht="15">
      <c r="A721" s="479"/>
      <c r="B721" s="523"/>
      <c r="C721" s="2947" t="s">
        <v>798</v>
      </c>
      <c r="D721" s="2948" t="s">
        <v>585</v>
      </c>
      <c r="E721" s="2243">
        <v>180</v>
      </c>
      <c r="F721" s="2243">
        <v>377</v>
      </c>
      <c r="G721" s="2244">
        <v>199.04</v>
      </c>
      <c r="H721" s="2972">
        <f t="shared" si="69"/>
        <v>0.52795755968169755</v>
      </c>
      <c r="J721" s="444" t="s">
        <v>793</v>
      </c>
    </row>
    <row r="722" spans="1:10" s="444" customFormat="1" ht="15">
      <c r="A722" s="477"/>
      <c r="B722" s="523"/>
      <c r="C722" s="2978" t="s">
        <v>757</v>
      </c>
      <c r="D722" s="2979" t="s">
        <v>742</v>
      </c>
      <c r="E722" s="2980">
        <v>20000</v>
      </c>
      <c r="F722" s="2980">
        <v>50000</v>
      </c>
      <c r="G722" s="2981">
        <v>4009.8</v>
      </c>
      <c r="H722" s="2972">
        <f t="shared" si="69"/>
        <v>8.0196000000000003E-2</v>
      </c>
      <c r="J722" s="444" t="s">
        <v>791</v>
      </c>
    </row>
    <row r="723" spans="1:10" s="444" customFormat="1" ht="15">
      <c r="A723" s="477"/>
      <c r="B723" s="523"/>
      <c r="C723" s="2960" t="s">
        <v>759</v>
      </c>
      <c r="D723" s="2961" t="s">
        <v>586</v>
      </c>
      <c r="E723" s="2243">
        <v>0</v>
      </c>
      <c r="F723" s="2243">
        <v>1749</v>
      </c>
      <c r="G723" s="2244">
        <v>0</v>
      </c>
      <c r="H723" s="2972">
        <f t="shared" si="69"/>
        <v>0</v>
      </c>
    </row>
    <row r="724" spans="1:10" s="444" customFormat="1" ht="15">
      <c r="A724" s="477"/>
      <c r="B724" s="523"/>
      <c r="C724" s="2960" t="s">
        <v>761</v>
      </c>
      <c r="D724" s="2961" t="s">
        <v>586</v>
      </c>
      <c r="E724" s="2243">
        <v>0</v>
      </c>
      <c r="F724" s="2243">
        <v>438</v>
      </c>
      <c r="G724" s="2244">
        <v>0</v>
      </c>
      <c r="H724" s="2972">
        <f t="shared" si="69"/>
        <v>0</v>
      </c>
    </row>
    <row r="725" spans="1:10" s="444" customFormat="1" ht="25.5">
      <c r="A725" s="477"/>
      <c r="B725" s="523"/>
      <c r="C725" s="2960" t="s">
        <v>799</v>
      </c>
      <c r="D725" s="2961" t="s">
        <v>588</v>
      </c>
      <c r="E725" s="2243">
        <v>12240</v>
      </c>
      <c r="F725" s="2243">
        <v>14341</v>
      </c>
      <c r="G725" s="2244">
        <v>13612.14</v>
      </c>
      <c r="H725" s="2972">
        <f t="shared" si="69"/>
        <v>0.94917648699532808</v>
      </c>
      <c r="J725" s="444" t="s">
        <v>793</v>
      </c>
    </row>
    <row r="726" spans="1:10" s="444" customFormat="1" ht="25.5">
      <c r="A726" s="477"/>
      <c r="B726" s="523"/>
      <c r="C726" s="2960" t="s">
        <v>800</v>
      </c>
      <c r="D726" s="2961" t="s">
        <v>588</v>
      </c>
      <c r="E726" s="2243">
        <v>2160</v>
      </c>
      <c r="F726" s="2243">
        <v>3159</v>
      </c>
      <c r="G726" s="2244">
        <v>3005.46</v>
      </c>
      <c r="H726" s="2972">
        <f t="shared" si="69"/>
        <v>0.95139601139601138</v>
      </c>
      <c r="J726" s="444" t="s">
        <v>793</v>
      </c>
    </row>
    <row r="727" spans="1:10" s="444" customFormat="1" ht="15">
      <c r="A727" s="477"/>
      <c r="B727" s="523"/>
      <c r="C727" s="2960" t="s">
        <v>727</v>
      </c>
      <c r="D727" s="2961" t="s">
        <v>589</v>
      </c>
      <c r="E727" s="2243">
        <v>942</v>
      </c>
      <c r="F727" s="2243">
        <v>19</v>
      </c>
      <c r="G727" s="2244">
        <v>18.96</v>
      </c>
      <c r="H727" s="2972">
        <f t="shared" si="69"/>
        <v>0.99789473684210528</v>
      </c>
    </row>
    <row r="728" spans="1:10" s="444" customFormat="1" ht="15">
      <c r="A728" s="477"/>
      <c r="B728" s="523"/>
      <c r="C728" s="2960" t="s">
        <v>632</v>
      </c>
      <c r="D728" s="2961" t="s">
        <v>589</v>
      </c>
      <c r="E728" s="2243">
        <f>2718+850+11000</f>
        <v>14568</v>
      </c>
      <c r="F728" s="2243">
        <v>25634</v>
      </c>
      <c r="G728" s="2244">
        <v>12783.9</v>
      </c>
      <c r="H728" s="2972">
        <f t="shared" si="69"/>
        <v>0.49870874619645783</v>
      </c>
      <c r="J728" s="444" t="s">
        <v>787</v>
      </c>
    </row>
    <row r="729" spans="1:10" s="444" customFormat="1" ht="15">
      <c r="A729" s="477"/>
      <c r="B729" s="523"/>
      <c r="C729" s="2960" t="s">
        <v>633</v>
      </c>
      <c r="D729" s="2961" t="s">
        <v>589</v>
      </c>
      <c r="E729" s="2243">
        <f>58+480+150</f>
        <v>688</v>
      </c>
      <c r="F729" s="2243">
        <v>1868</v>
      </c>
      <c r="G729" s="2244">
        <v>1784.25</v>
      </c>
      <c r="H729" s="2972">
        <f t="shared" si="69"/>
        <v>0.95516595289079231</v>
      </c>
      <c r="J729" s="444" t="s">
        <v>788</v>
      </c>
    </row>
    <row r="730" spans="1:10" s="444" customFormat="1" ht="15">
      <c r="A730" s="477"/>
      <c r="B730" s="523"/>
      <c r="C730" s="2960" t="s">
        <v>658</v>
      </c>
      <c r="D730" s="2961" t="s">
        <v>591</v>
      </c>
      <c r="E730" s="2243">
        <f>1275+11000</f>
        <v>12275</v>
      </c>
      <c r="F730" s="2243">
        <v>44877</v>
      </c>
      <c r="G730" s="2244">
        <v>23256.21</v>
      </c>
      <c r="H730" s="2972">
        <f t="shared" si="69"/>
        <v>0.51822113777658929</v>
      </c>
      <c r="J730" s="444" t="s">
        <v>789</v>
      </c>
    </row>
    <row r="731" spans="1:10" s="444" customFormat="1" ht="15">
      <c r="A731" s="477"/>
      <c r="B731" s="523"/>
      <c r="C731" s="2960" t="s">
        <v>659</v>
      </c>
      <c r="D731" s="2961" t="s">
        <v>591</v>
      </c>
      <c r="E731" s="2243">
        <v>225</v>
      </c>
      <c r="F731" s="2243">
        <v>5876</v>
      </c>
      <c r="G731" s="2244">
        <v>5417.1</v>
      </c>
      <c r="H731" s="2972">
        <f t="shared" si="69"/>
        <v>0.92190265486725675</v>
      </c>
      <c r="J731" s="444" t="s">
        <v>657</v>
      </c>
    </row>
    <row r="732" spans="1:10" s="444" customFormat="1" ht="15">
      <c r="A732" s="477"/>
      <c r="B732" s="523"/>
      <c r="C732" s="2960" t="s">
        <v>762</v>
      </c>
      <c r="D732" s="2961" t="s">
        <v>597</v>
      </c>
      <c r="E732" s="2243">
        <v>0</v>
      </c>
      <c r="F732" s="2243">
        <v>797</v>
      </c>
      <c r="G732" s="2244">
        <v>397.28</v>
      </c>
      <c r="H732" s="2972">
        <f t="shared" si="69"/>
        <v>0.49846925972396483</v>
      </c>
    </row>
    <row r="733" spans="1:10" s="444" customFormat="1" ht="15">
      <c r="A733" s="477"/>
      <c r="B733" s="523"/>
      <c r="C733" s="2998" t="s">
        <v>763</v>
      </c>
      <c r="D733" s="2961" t="s">
        <v>597</v>
      </c>
      <c r="E733" s="2243">
        <v>0</v>
      </c>
      <c r="F733" s="2243">
        <v>203</v>
      </c>
      <c r="G733" s="2244">
        <v>101.14</v>
      </c>
      <c r="H733" s="2972">
        <f t="shared" si="69"/>
        <v>0.4982266009852217</v>
      </c>
    </row>
    <row r="734" spans="1:10" s="444" customFormat="1" ht="54" customHeight="1">
      <c r="A734" s="477"/>
      <c r="B734" s="523"/>
      <c r="C734" s="2963" t="s">
        <v>801</v>
      </c>
      <c r="D734" s="2999" t="s">
        <v>802</v>
      </c>
      <c r="E734" s="2980">
        <v>0</v>
      </c>
      <c r="F734" s="2980">
        <v>1163</v>
      </c>
      <c r="G734" s="2981">
        <v>1162</v>
      </c>
      <c r="H734" s="2972">
        <f t="shared" si="69"/>
        <v>0.99914015477214102</v>
      </c>
    </row>
    <row r="735" spans="1:10" s="444" customFormat="1" ht="15" customHeight="1">
      <c r="A735" s="477"/>
      <c r="B735" s="523"/>
      <c r="C735" s="1308" t="s">
        <v>729</v>
      </c>
      <c r="D735" s="544" t="s">
        <v>600</v>
      </c>
      <c r="E735" s="2980">
        <v>0</v>
      </c>
      <c r="F735" s="2980">
        <v>16092</v>
      </c>
      <c r="G735" s="2981">
        <v>16091.62</v>
      </c>
      <c r="H735" s="2972">
        <f t="shared" si="69"/>
        <v>0.99997638578175496</v>
      </c>
    </row>
    <row r="736" spans="1:10" s="444" customFormat="1" ht="15" customHeight="1">
      <c r="A736" s="477"/>
      <c r="B736" s="523"/>
      <c r="C736" s="3000" t="s">
        <v>636</v>
      </c>
      <c r="D736" s="3001" t="s">
        <v>772</v>
      </c>
      <c r="E736" s="3002">
        <f>1853+850+10928</f>
        <v>13631</v>
      </c>
      <c r="F736" s="3002">
        <v>31946</v>
      </c>
      <c r="G736" s="3003">
        <v>19117.759999999998</v>
      </c>
      <c r="H736" s="2972">
        <f t="shared" si="69"/>
        <v>0.59843986727602827</v>
      </c>
      <c r="J736" s="444" t="s">
        <v>787</v>
      </c>
    </row>
    <row r="737" spans="1:10" s="444" customFormat="1" ht="15" customHeight="1">
      <c r="A737" s="586"/>
      <c r="B737" s="523"/>
      <c r="C737" s="3004" t="s">
        <v>637</v>
      </c>
      <c r="D737" s="3005" t="s">
        <v>772</v>
      </c>
      <c r="E737" s="3002">
        <f>327+150</f>
        <v>477</v>
      </c>
      <c r="F737" s="3002">
        <v>7085</v>
      </c>
      <c r="G737" s="3003">
        <v>5371.78</v>
      </c>
      <c r="H737" s="2972">
        <f t="shared" si="69"/>
        <v>0.75819054340155256</v>
      </c>
      <c r="J737" s="444" t="s">
        <v>788</v>
      </c>
    </row>
    <row r="738" spans="1:10" s="444" customFormat="1" ht="15">
      <c r="A738" s="586"/>
      <c r="B738" s="523"/>
      <c r="C738" s="3004" t="s">
        <v>730</v>
      </c>
      <c r="D738" s="3006" t="s">
        <v>576</v>
      </c>
      <c r="E738" s="3002">
        <v>0</v>
      </c>
      <c r="F738" s="3002">
        <v>2302</v>
      </c>
      <c r="G738" s="3003">
        <v>1995.53</v>
      </c>
      <c r="H738" s="2972">
        <f t="shared" si="69"/>
        <v>0.86686794092093833</v>
      </c>
    </row>
    <row r="739" spans="1:10" s="444" customFormat="1" ht="15">
      <c r="A739" s="586"/>
      <c r="B739" s="523"/>
      <c r="C739" s="3004" t="s">
        <v>638</v>
      </c>
      <c r="D739" s="3005" t="s">
        <v>576</v>
      </c>
      <c r="E739" s="3002">
        <f>9941+4000</f>
        <v>13941</v>
      </c>
      <c r="F739" s="3002">
        <v>19596</v>
      </c>
      <c r="G739" s="3003">
        <v>18154.27</v>
      </c>
      <c r="H739" s="2972">
        <f t="shared" si="69"/>
        <v>0.92642733210859363</v>
      </c>
      <c r="J739" s="444" t="s">
        <v>797</v>
      </c>
    </row>
    <row r="740" spans="1:10" s="444" customFormat="1" ht="15">
      <c r="A740" s="586"/>
      <c r="B740" s="523"/>
      <c r="C740" s="3004" t="s">
        <v>639</v>
      </c>
      <c r="D740" s="3006" t="s">
        <v>576</v>
      </c>
      <c r="E740" s="3002">
        <v>1754</v>
      </c>
      <c r="F740" s="3002">
        <v>3652</v>
      </c>
      <c r="G740" s="3003">
        <v>3436.34</v>
      </c>
      <c r="H740" s="2972">
        <f t="shared" si="69"/>
        <v>0.94094742606790804</v>
      </c>
      <c r="J740" s="444" t="s">
        <v>793</v>
      </c>
    </row>
    <row r="741" spans="1:10" s="444" customFormat="1" ht="15.75" thickBot="1">
      <c r="A741" s="3007"/>
      <c r="B741" s="2957"/>
      <c r="C741" s="501"/>
      <c r="D741" s="3008"/>
      <c r="E741" s="3009"/>
      <c r="F741" s="3010"/>
      <c r="G741" s="3011"/>
      <c r="H741" s="2620"/>
    </row>
    <row r="742" spans="1:10" s="444" customFormat="1" ht="15">
      <c r="A742" s="3013"/>
      <c r="B742" s="2967"/>
      <c r="C742" s="5064" t="s">
        <v>603</v>
      </c>
      <c r="D742" s="5065"/>
      <c r="E742" s="3014">
        <f>SUM(E743)</f>
        <v>15566214</v>
      </c>
      <c r="F742" s="3014">
        <f>SUM(F743)</f>
        <v>21905485</v>
      </c>
      <c r="G742" s="3015">
        <f>SUM(G743)</f>
        <v>20007757.690000001</v>
      </c>
      <c r="H742" s="3016">
        <f t="shared" ref="H742:H758" si="70">G742/F742</f>
        <v>0.9133674826190793</v>
      </c>
    </row>
    <row r="743" spans="1:10" s="444" customFormat="1" ht="15">
      <c r="A743" s="586"/>
      <c r="B743" s="523"/>
      <c r="C743" s="5041" t="s">
        <v>604</v>
      </c>
      <c r="D743" s="5042"/>
      <c r="E743" s="3017">
        <f>SUM(E744:E757)</f>
        <v>15566214</v>
      </c>
      <c r="F743" s="3017">
        <f>SUM(F744:F758)</f>
        <v>21905485</v>
      </c>
      <c r="G743" s="3018">
        <f>SUM(G744:G758)</f>
        <v>20007757.690000001</v>
      </c>
      <c r="H743" s="2959">
        <f t="shared" si="70"/>
        <v>0.9133674826190793</v>
      </c>
    </row>
    <row r="744" spans="1:10" s="444" customFormat="1" ht="15">
      <c r="A744" s="586"/>
      <c r="B744" s="523"/>
      <c r="C744" s="3019" t="s">
        <v>339</v>
      </c>
      <c r="D744" s="3020" t="s">
        <v>671</v>
      </c>
      <c r="E744" s="3002">
        <v>302500</v>
      </c>
      <c r="F744" s="3002">
        <v>403131</v>
      </c>
      <c r="G744" s="3003">
        <v>365996.16</v>
      </c>
      <c r="H744" s="2959">
        <f t="shared" si="70"/>
        <v>0.90788393847161342</v>
      </c>
      <c r="J744" s="444" t="s">
        <v>645</v>
      </c>
    </row>
    <row r="745" spans="1:10" s="444" customFormat="1" ht="15">
      <c r="A745" s="586"/>
      <c r="B745" s="523"/>
      <c r="C745" s="3019" t="s">
        <v>672</v>
      </c>
      <c r="D745" s="3021" t="s">
        <v>671</v>
      </c>
      <c r="E745" s="2949">
        <v>55651</v>
      </c>
      <c r="F745" s="2949">
        <v>3789</v>
      </c>
      <c r="G745" s="2950">
        <v>3788.58</v>
      </c>
      <c r="H745" s="2959">
        <f t="shared" si="70"/>
        <v>0.99988915281076796</v>
      </c>
      <c r="J745" s="444" t="s">
        <v>706</v>
      </c>
    </row>
    <row r="746" spans="1:10" s="444" customFormat="1" ht="15">
      <c r="A746" s="586"/>
      <c r="B746" s="523"/>
      <c r="C746" s="3022" t="s">
        <v>803</v>
      </c>
      <c r="D746" s="3020" t="s">
        <v>671</v>
      </c>
      <c r="E746" s="2949">
        <v>12219090</v>
      </c>
      <c r="F746" s="2949">
        <v>15621358</v>
      </c>
      <c r="G746" s="2950">
        <v>15605674.289999999</v>
      </c>
      <c r="H746" s="2959">
        <f t="shared" si="70"/>
        <v>0.99899600854163895</v>
      </c>
      <c r="J746" s="444" t="s">
        <v>654</v>
      </c>
    </row>
    <row r="747" spans="1:10" s="444" customFormat="1" ht="15">
      <c r="A747" s="586"/>
      <c r="B747" s="523"/>
      <c r="C747" s="3022" t="s">
        <v>673</v>
      </c>
      <c r="D747" s="3020" t="s">
        <v>671</v>
      </c>
      <c r="E747" s="2949">
        <f>3371+2156311</f>
        <v>2159682</v>
      </c>
      <c r="F747" s="2949">
        <v>2888491</v>
      </c>
      <c r="G747" s="2950">
        <v>2885721.7</v>
      </c>
      <c r="H747" s="2959">
        <f t="shared" si="70"/>
        <v>0.99904126410641414</v>
      </c>
      <c r="J747" s="444" t="s">
        <v>760</v>
      </c>
    </row>
    <row r="748" spans="1:10" s="444" customFormat="1" ht="15">
      <c r="A748" s="586"/>
      <c r="B748" s="523"/>
      <c r="C748" s="3019" t="s">
        <v>668</v>
      </c>
      <c r="D748" s="3020" t="s">
        <v>605</v>
      </c>
      <c r="E748" s="2949">
        <v>0</v>
      </c>
      <c r="F748" s="2949">
        <v>52138</v>
      </c>
      <c r="G748" s="2950">
        <v>0</v>
      </c>
      <c r="H748" s="2959">
        <f t="shared" si="70"/>
        <v>0</v>
      </c>
    </row>
    <row r="749" spans="1:10" s="444" customFormat="1" ht="15">
      <c r="A749" s="586"/>
      <c r="B749" s="587"/>
      <c r="C749" s="3023" t="s">
        <v>365</v>
      </c>
      <c r="D749" s="3024" t="s">
        <v>605</v>
      </c>
      <c r="E749" s="2949">
        <v>0</v>
      </c>
      <c r="F749" s="2949">
        <v>3156</v>
      </c>
      <c r="G749" s="2950">
        <v>0</v>
      </c>
      <c r="H749" s="2959">
        <f t="shared" si="70"/>
        <v>0</v>
      </c>
    </row>
    <row r="750" spans="1:10" s="444" customFormat="1" ht="51">
      <c r="A750" s="586"/>
      <c r="B750" s="587"/>
      <c r="C750" s="3025" t="s">
        <v>804</v>
      </c>
      <c r="D750" s="3026" t="s">
        <v>675</v>
      </c>
      <c r="E750" s="2949">
        <v>0</v>
      </c>
      <c r="F750" s="2949">
        <v>334204</v>
      </c>
      <c r="G750" s="2950">
        <v>334203.3</v>
      </c>
      <c r="H750" s="2959">
        <f t="shared" si="70"/>
        <v>0.99999790547090994</v>
      </c>
    </row>
    <row r="751" spans="1:10" s="444" customFormat="1" ht="51">
      <c r="A751" s="586"/>
      <c r="B751" s="587"/>
      <c r="C751" s="3025" t="s">
        <v>674</v>
      </c>
      <c r="D751" s="3026" t="s">
        <v>675</v>
      </c>
      <c r="E751" s="2949">
        <v>55651</v>
      </c>
      <c r="F751" s="2949">
        <v>0</v>
      </c>
      <c r="G751" s="2950">
        <v>0</v>
      </c>
      <c r="H751" s="2959"/>
      <c r="J751" s="444" t="s">
        <v>706</v>
      </c>
    </row>
    <row r="752" spans="1:10" s="444" customFormat="1" ht="51">
      <c r="A752" s="586"/>
      <c r="B752" s="587"/>
      <c r="C752" s="3027" t="s">
        <v>99</v>
      </c>
      <c r="D752" s="2979" t="s">
        <v>675</v>
      </c>
      <c r="E752" s="2980">
        <v>0</v>
      </c>
      <c r="F752" s="2980">
        <v>222159</v>
      </c>
      <c r="G752" s="2981">
        <v>222158.3</v>
      </c>
      <c r="H752" s="2959">
        <f t="shared" si="70"/>
        <v>0.9999968491035699</v>
      </c>
    </row>
    <row r="753" spans="1:10" s="444" customFormat="1" ht="51">
      <c r="A753" s="586"/>
      <c r="B753" s="587"/>
      <c r="C753" s="2962" t="s">
        <v>805</v>
      </c>
      <c r="D753" s="2979" t="s">
        <v>675</v>
      </c>
      <c r="E753" s="2949">
        <v>3371</v>
      </c>
      <c r="F753" s="2949">
        <v>39205</v>
      </c>
      <c r="G753" s="2950">
        <v>39204.400000000001</v>
      </c>
      <c r="H753" s="2959">
        <f t="shared" si="70"/>
        <v>0.99998469582961358</v>
      </c>
      <c r="J753" s="444" t="s">
        <v>706</v>
      </c>
    </row>
    <row r="754" spans="1:10" s="444" customFormat="1" ht="51">
      <c r="A754" s="586"/>
      <c r="B754" s="587"/>
      <c r="C754" s="3019" t="s">
        <v>101</v>
      </c>
      <c r="D754" s="3028" t="s">
        <v>676</v>
      </c>
      <c r="E754" s="2949">
        <v>723458</v>
      </c>
      <c r="F754" s="2949">
        <v>1680209</v>
      </c>
      <c r="G754" s="2950">
        <v>0</v>
      </c>
      <c r="H754" s="2959">
        <f t="shared" si="70"/>
        <v>0</v>
      </c>
      <c r="J754" s="444" t="s">
        <v>706</v>
      </c>
    </row>
    <row r="755" spans="1:10" s="444" customFormat="1" ht="51">
      <c r="A755" s="586"/>
      <c r="B755" s="587"/>
      <c r="C755" s="3019" t="s">
        <v>309</v>
      </c>
      <c r="D755" s="3028" t="s">
        <v>676</v>
      </c>
      <c r="E755" s="2949">
        <v>43810</v>
      </c>
      <c r="F755" s="2949">
        <v>330375</v>
      </c>
      <c r="G755" s="2950">
        <v>226744.68</v>
      </c>
      <c r="H755" s="2959">
        <f t="shared" si="70"/>
        <v>0.68632517593643583</v>
      </c>
      <c r="J755" s="444" t="s">
        <v>706</v>
      </c>
    </row>
    <row r="756" spans="1:10" s="444" customFormat="1" ht="25.5">
      <c r="A756" s="586"/>
      <c r="B756" s="587"/>
      <c r="C756" s="3012" t="s">
        <v>677</v>
      </c>
      <c r="D756" s="3029" t="s">
        <v>678</v>
      </c>
      <c r="E756" s="2949">
        <v>0</v>
      </c>
      <c r="F756" s="2949">
        <v>305752</v>
      </c>
      <c r="G756" s="2950">
        <v>305750.68</v>
      </c>
      <c r="H756" s="2959">
        <f t="shared" si="70"/>
        <v>0.99999568277558282</v>
      </c>
    </row>
    <row r="757" spans="1:10" s="444" customFormat="1" ht="26.25" thickBot="1">
      <c r="A757" s="3007"/>
      <c r="B757" s="588"/>
      <c r="C757" s="3030" t="s">
        <v>806</v>
      </c>
      <c r="D757" s="3031" t="s">
        <v>678</v>
      </c>
      <c r="E757" s="503">
        <v>3001</v>
      </c>
      <c r="F757" s="503">
        <v>3001</v>
      </c>
      <c r="G757" s="702">
        <v>0</v>
      </c>
      <c r="H757" s="2245">
        <f t="shared" si="70"/>
        <v>0</v>
      </c>
      <c r="J757" s="444" t="s">
        <v>791</v>
      </c>
    </row>
    <row r="758" spans="1:10" s="444" customFormat="1" ht="25.5">
      <c r="A758" s="3013"/>
      <c r="B758" s="3032"/>
      <c r="C758" s="3033" t="s">
        <v>212</v>
      </c>
      <c r="D758" s="3034" t="s">
        <v>678</v>
      </c>
      <c r="E758" s="2992">
        <v>0</v>
      </c>
      <c r="F758" s="2992">
        <v>18517</v>
      </c>
      <c r="G758" s="2993">
        <v>18515.599999999999</v>
      </c>
      <c r="H758" s="2994">
        <f t="shared" si="70"/>
        <v>0.99992439380029152</v>
      </c>
    </row>
    <row r="759" spans="1:10" s="444" customFormat="1" ht="15">
      <c r="A759" s="586"/>
      <c r="B759" s="587"/>
      <c r="C759" s="5043"/>
      <c r="D759" s="5044"/>
      <c r="E759" s="3035"/>
      <c r="F759" s="3036"/>
      <c r="G759" s="3037"/>
      <c r="H759" s="2971"/>
    </row>
    <row r="760" spans="1:10" s="444" customFormat="1" ht="15">
      <c r="A760" s="586"/>
      <c r="B760" s="587"/>
      <c r="C760" s="5045" t="s">
        <v>669</v>
      </c>
      <c r="D760" s="5046"/>
      <c r="E760" s="3038">
        <f>SUM(E761:E775)</f>
        <v>15263714</v>
      </c>
      <c r="F760" s="3038">
        <f>SUM(F761:F775)</f>
        <v>21510122</v>
      </c>
      <c r="G760" s="3039">
        <f>SUM(G761:G775)</f>
        <v>19614276.850000001</v>
      </c>
      <c r="H760" s="3040">
        <f t="shared" ref="H760:H795" si="71">G760/F760</f>
        <v>0.91186265005842371</v>
      </c>
      <c r="J760" s="444" t="s">
        <v>706</v>
      </c>
    </row>
    <row r="761" spans="1:10" s="444" customFormat="1" ht="15">
      <c r="A761" s="477"/>
      <c r="B761" s="587"/>
      <c r="C761" s="3041" t="s">
        <v>339</v>
      </c>
      <c r="D761" s="3042" t="s">
        <v>671</v>
      </c>
      <c r="E761" s="3035">
        <v>0</v>
      </c>
      <c r="F761" s="3035">
        <v>236394</v>
      </c>
      <c r="G761" s="3043">
        <v>199260</v>
      </c>
      <c r="H761" s="2959">
        <f t="shared" si="71"/>
        <v>0.84291479479174602</v>
      </c>
    </row>
    <row r="762" spans="1:10" s="444" customFormat="1" ht="15">
      <c r="A762" s="477"/>
      <c r="B762" s="587"/>
      <c r="C762" s="3044" t="s">
        <v>672</v>
      </c>
      <c r="D762" s="3045" t="s">
        <v>671</v>
      </c>
      <c r="E762" s="3035">
        <v>55651</v>
      </c>
      <c r="F762" s="3035">
        <v>3789</v>
      </c>
      <c r="G762" s="3043">
        <v>3788.58</v>
      </c>
      <c r="H762" s="2959">
        <f t="shared" si="71"/>
        <v>0.99988915281076796</v>
      </c>
    </row>
    <row r="763" spans="1:10" s="444" customFormat="1" ht="15">
      <c r="A763" s="477"/>
      <c r="B763" s="587"/>
      <c r="C763" s="3004" t="s">
        <v>803</v>
      </c>
      <c r="D763" s="3046" t="s">
        <v>671</v>
      </c>
      <c r="E763" s="3035">
        <v>12219090</v>
      </c>
      <c r="F763" s="3035">
        <v>15621358</v>
      </c>
      <c r="G763" s="3043">
        <f>14599318.85+1006355.44</f>
        <v>15605674.289999999</v>
      </c>
      <c r="H763" s="2959">
        <f t="shared" si="71"/>
        <v>0.99899600854163895</v>
      </c>
      <c r="J763" s="444" t="s">
        <v>654</v>
      </c>
    </row>
    <row r="764" spans="1:10" s="444" customFormat="1" ht="15">
      <c r="A764" s="477"/>
      <c r="B764" s="587"/>
      <c r="C764" s="3004" t="s">
        <v>673</v>
      </c>
      <c r="D764" s="3046" t="s">
        <v>671</v>
      </c>
      <c r="E764" s="3035">
        <f>3371+2156311</f>
        <v>2159682</v>
      </c>
      <c r="F764" s="3035">
        <v>2888491</v>
      </c>
      <c r="G764" s="3043">
        <f>2576350.42+229.42+309141.86</f>
        <v>2885721.6999999997</v>
      </c>
      <c r="H764" s="2959">
        <f t="shared" si="71"/>
        <v>0.99904126410641392</v>
      </c>
      <c r="J764" s="444" t="s">
        <v>654</v>
      </c>
    </row>
    <row r="765" spans="1:10" s="444" customFormat="1" ht="15">
      <c r="A765" s="477"/>
      <c r="B765" s="587"/>
      <c r="C765" s="3047" t="s">
        <v>668</v>
      </c>
      <c r="D765" s="2979" t="s">
        <v>605</v>
      </c>
      <c r="E765" s="3035">
        <v>0</v>
      </c>
      <c r="F765" s="3035">
        <v>52138</v>
      </c>
      <c r="G765" s="3043">
        <v>0</v>
      </c>
      <c r="H765" s="2959">
        <f t="shared" si="71"/>
        <v>0</v>
      </c>
    </row>
    <row r="766" spans="1:10" s="444" customFormat="1" ht="15">
      <c r="A766" s="477"/>
      <c r="B766" s="587"/>
      <c r="C766" s="3048" t="s">
        <v>365</v>
      </c>
      <c r="D766" s="3049" t="s">
        <v>605</v>
      </c>
      <c r="E766" s="3035">
        <v>0</v>
      </c>
      <c r="F766" s="3035">
        <v>3156</v>
      </c>
      <c r="G766" s="3043">
        <v>0</v>
      </c>
      <c r="H766" s="2959">
        <f t="shared" si="71"/>
        <v>0</v>
      </c>
    </row>
    <row r="767" spans="1:10" s="444" customFormat="1" ht="51">
      <c r="A767" s="477"/>
      <c r="B767" s="587"/>
      <c r="C767" s="3050" t="s">
        <v>804</v>
      </c>
      <c r="D767" s="3049" t="s">
        <v>675</v>
      </c>
      <c r="E767" s="3035">
        <v>0</v>
      </c>
      <c r="F767" s="3035">
        <v>334204</v>
      </c>
      <c r="G767" s="3043">
        <v>334203.3</v>
      </c>
      <c r="H767" s="2959">
        <f t="shared" si="71"/>
        <v>0.99999790547090994</v>
      </c>
    </row>
    <row r="768" spans="1:10" s="444" customFormat="1" ht="51">
      <c r="A768" s="477"/>
      <c r="B768" s="587"/>
      <c r="C768" s="3051" t="s">
        <v>674</v>
      </c>
      <c r="D768" s="3052" t="s">
        <v>675</v>
      </c>
      <c r="E768" s="3035">
        <v>55651</v>
      </c>
      <c r="F768" s="3035">
        <v>0</v>
      </c>
      <c r="G768" s="3043">
        <v>0</v>
      </c>
      <c r="H768" s="2959"/>
    </row>
    <row r="769" spans="1:10" s="444" customFormat="1" ht="51">
      <c r="A769" s="477"/>
      <c r="B769" s="587"/>
      <c r="C769" s="3051" t="s">
        <v>99</v>
      </c>
      <c r="D769" s="3052" t="s">
        <v>675</v>
      </c>
      <c r="E769" s="3035">
        <v>0</v>
      </c>
      <c r="F769" s="3035">
        <v>222159</v>
      </c>
      <c r="G769" s="3043">
        <v>222158.3</v>
      </c>
      <c r="H769" s="2959">
        <f t="shared" si="71"/>
        <v>0.9999968491035699</v>
      </c>
    </row>
    <row r="770" spans="1:10" s="444" customFormat="1" ht="51">
      <c r="A770" s="479"/>
      <c r="B770" s="587"/>
      <c r="C770" s="3053" t="s">
        <v>805</v>
      </c>
      <c r="D770" s="3054" t="s">
        <v>675</v>
      </c>
      <c r="E770" s="3035">
        <v>3371</v>
      </c>
      <c r="F770" s="3035">
        <v>39205</v>
      </c>
      <c r="G770" s="3043">
        <v>39204.400000000001</v>
      </c>
      <c r="H770" s="2959">
        <f t="shared" si="71"/>
        <v>0.99998469582961358</v>
      </c>
    </row>
    <row r="771" spans="1:10" s="444" customFormat="1" ht="51">
      <c r="A771" s="477"/>
      <c r="B771" s="587"/>
      <c r="C771" s="2962" t="s">
        <v>101</v>
      </c>
      <c r="D771" s="2973" t="s">
        <v>676</v>
      </c>
      <c r="E771" s="2980">
        <v>723458</v>
      </c>
      <c r="F771" s="2980">
        <v>1680209</v>
      </c>
      <c r="G771" s="2981">
        <v>0</v>
      </c>
      <c r="H771" s="2959">
        <f t="shared" si="71"/>
        <v>0</v>
      </c>
    </row>
    <row r="772" spans="1:10" s="444" customFormat="1" ht="51">
      <c r="A772" s="479"/>
      <c r="B772" s="587"/>
      <c r="C772" s="3053" t="s">
        <v>309</v>
      </c>
      <c r="D772" s="3055" t="s">
        <v>676</v>
      </c>
      <c r="E772" s="3035">
        <v>43810</v>
      </c>
      <c r="F772" s="3035">
        <v>101749</v>
      </c>
      <c r="G772" s="3043">
        <v>0</v>
      </c>
      <c r="H772" s="2959">
        <f t="shared" si="71"/>
        <v>0</v>
      </c>
    </row>
    <row r="773" spans="1:10" ht="26.25" thickBot="1">
      <c r="A773" s="535"/>
      <c r="B773" s="3056"/>
      <c r="C773" s="2975" t="s">
        <v>677</v>
      </c>
      <c r="D773" s="3057" t="s">
        <v>678</v>
      </c>
      <c r="E773" s="608"/>
      <c r="F773" s="608">
        <v>305752</v>
      </c>
      <c r="G773" s="1309">
        <v>305750.68</v>
      </c>
      <c r="H773" s="2245">
        <f t="shared" si="71"/>
        <v>0.99999568277558282</v>
      </c>
    </row>
    <row r="774" spans="1:10" ht="25.5">
      <c r="A774" s="2431"/>
      <c r="B774" s="3058"/>
      <c r="C774" s="3059" t="s">
        <v>806</v>
      </c>
      <c r="D774" s="3034" t="s">
        <v>678</v>
      </c>
      <c r="E774" s="2992">
        <v>3001</v>
      </c>
      <c r="F774" s="2992">
        <v>3001</v>
      </c>
      <c r="G774" s="2993">
        <v>0</v>
      </c>
      <c r="H774" s="2994">
        <f t="shared" si="71"/>
        <v>0</v>
      </c>
    </row>
    <row r="775" spans="1:10" s="444" customFormat="1" ht="26.25" thickBot="1">
      <c r="A775" s="501"/>
      <c r="B775" s="588"/>
      <c r="C775" s="3060" t="s">
        <v>212</v>
      </c>
      <c r="D775" s="589" t="s">
        <v>678</v>
      </c>
      <c r="E775" s="608">
        <v>0</v>
      </c>
      <c r="F775" s="608">
        <v>18517</v>
      </c>
      <c r="G775" s="1309">
        <v>18515.599999999999</v>
      </c>
      <c r="H775" s="2245">
        <f t="shared" si="71"/>
        <v>0.99992439380029152</v>
      </c>
    </row>
    <row r="776" spans="1:10" s="444" customFormat="1" ht="13.5" thickBot="1">
      <c r="A776" s="2312" t="s">
        <v>399</v>
      </c>
      <c r="B776" s="1989"/>
      <c r="C776" s="1990"/>
      <c r="D776" s="1991" t="s">
        <v>807</v>
      </c>
      <c r="E776" s="3061">
        <f>SUM(E777,E784,E788,E792,E800,E804,)</f>
        <v>1892100</v>
      </c>
      <c r="F776" s="3061">
        <f>SUM(F777,F784,F788,F792,F800,F804,)</f>
        <v>2825060</v>
      </c>
      <c r="G776" s="3062">
        <f>SUM(G777,G784,G788,G792,G800,G804,)</f>
        <v>2807854.59</v>
      </c>
      <c r="H776" s="1112">
        <f t="shared" si="71"/>
        <v>0.99390971873163747</v>
      </c>
    </row>
    <row r="777" spans="1:10" s="444" customFormat="1" ht="15" customHeight="1" thickBot="1">
      <c r="A777" s="477"/>
      <c r="B777" s="484" t="s">
        <v>808</v>
      </c>
      <c r="C777" s="2049"/>
      <c r="D777" s="2050" t="s">
        <v>809</v>
      </c>
      <c r="E777" s="485">
        <f>SUM(E778,E781)</f>
        <v>450000</v>
      </c>
      <c r="F777" s="485">
        <f>SUM(F778,F781)</f>
        <v>650000</v>
      </c>
      <c r="G777" s="534">
        <f>SUM(G778,G781)</f>
        <v>642656.09000000008</v>
      </c>
      <c r="H777" s="699">
        <f t="shared" si="71"/>
        <v>0.98870167692307709</v>
      </c>
    </row>
    <row r="778" spans="1:10" s="444" customFormat="1" ht="15" customHeight="1">
      <c r="A778" s="477"/>
      <c r="B778" s="632"/>
      <c r="C778" s="4977" t="s">
        <v>567</v>
      </c>
      <c r="D778" s="4977"/>
      <c r="E778" s="3063">
        <f t="shared" ref="E778:G779" si="72">SUM(E779)</f>
        <v>0</v>
      </c>
      <c r="F778" s="3063">
        <f t="shared" si="72"/>
        <v>465000</v>
      </c>
      <c r="G778" s="3064">
        <f t="shared" si="72"/>
        <v>463814.84</v>
      </c>
      <c r="H778" s="3065">
        <f t="shared" si="71"/>
        <v>0.99745126881720436</v>
      </c>
    </row>
    <row r="779" spans="1:10" s="444" customFormat="1" ht="15" customHeight="1">
      <c r="A779" s="477"/>
      <c r="B779" s="632"/>
      <c r="C779" s="5047" t="s">
        <v>640</v>
      </c>
      <c r="D779" s="5048"/>
      <c r="E779" s="3066">
        <f t="shared" si="72"/>
        <v>0</v>
      </c>
      <c r="F779" s="3066">
        <f t="shared" si="72"/>
        <v>465000</v>
      </c>
      <c r="G779" s="3067">
        <f t="shared" si="72"/>
        <v>463814.84</v>
      </c>
      <c r="H779" s="2674">
        <f t="shared" si="71"/>
        <v>0.99745126881720436</v>
      </c>
    </row>
    <row r="780" spans="1:10" s="506" customFormat="1" ht="15" customHeight="1">
      <c r="A780" s="512"/>
      <c r="B780" s="537"/>
      <c r="C780" s="3068" t="s">
        <v>810</v>
      </c>
      <c r="D780" s="3069" t="s">
        <v>811</v>
      </c>
      <c r="E780" s="3066">
        <v>0</v>
      </c>
      <c r="F780" s="3066">
        <v>465000</v>
      </c>
      <c r="G780" s="3067">
        <v>463814.84</v>
      </c>
      <c r="H780" s="2674">
        <f t="shared" si="71"/>
        <v>0.99745126881720436</v>
      </c>
      <c r="J780" s="444"/>
    </row>
    <row r="781" spans="1:10" s="506" customFormat="1" ht="15" customHeight="1">
      <c r="A781" s="512"/>
      <c r="B781" s="5013"/>
      <c r="C781" s="5050" t="s">
        <v>603</v>
      </c>
      <c r="D781" s="5051"/>
      <c r="E781" s="2246">
        <f t="shared" ref="E781:G782" si="73">SUM(E782)</f>
        <v>450000</v>
      </c>
      <c r="F781" s="2246">
        <f t="shared" si="73"/>
        <v>185000</v>
      </c>
      <c r="G781" s="2247">
        <f t="shared" si="73"/>
        <v>178841.25</v>
      </c>
      <c r="H781" s="3065">
        <f t="shared" si="71"/>
        <v>0.96670945945945941</v>
      </c>
      <c r="J781" s="444"/>
    </row>
    <row r="782" spans="1:10" s="506" customFormat="1" ht="15">
      <c r="A782" s="512"/>
      <c r="B782" s="5013"/>
      <c r="C782" s="5052" t="s">
        <v>604</v>
      </c>
      <c r="D782" s="5053"/>
      <c r="E782" s="3035">
        <f t="shared" si="73"/>
        <v>450000</v>
      </c>
      <c r="F782" s="3035">
        <f t="shared" si="73"/>
        <v>185000</v>
      </c>
      <c r="G782" s="3043">
        <f t="shared" si="73"/>
        <v>178841.25</v>
      </c>
      <c r="H782" s="2674">
        <f t="shared" si="71"/>
        <v>0.96670945945945941</v>
      </c>
      <c r="J782" s="444"/>
    </row>
    <row r="783" spans="1:10" s="506" customFormat="1" ht="29.25" customHeight="1" thickBot="1">
      <c r="A783" s="512"/>
      <c r="B783" s="5049"/>
      <c r="C783" s="3070" t="s">
        <v>812</v>
      </c>
      <c r="D783" s="3071" t="s">
        <v>813</v>
      </c>
      <c r="E783" s="503">
        <v>450000</v>
      </c>
      <c r="F783" s="503">
        <v>185000</v>
      </c>
      <c r="G783" s="702">
        <v>178841.25</v>
      </c>
      <c r="H783" s="701">
        <f t="shared" si="71"/>
        <v>0.96670945945945941</v>
      </c>
      <c r="J783" s="444" t="s">
        <v>645</v>
      </c>
    </row>
    <row r="784" spans="1:10" s="506" customFormat="1" ht="15" customHeight="1" thickBot="1">
      <c r="A784" s="514"/>
      <c r="B784" s="508" t="s">
        <v>814</v>
      </c>
      <c r="C784" s="2344"/>
      <c r="D784" s="2345" t="s">
        <v>815</v>
      </c>
      <c r="E784" s="511">
        <f>SUM(E785)</f>
        <v>363500</v>
      </c>
      <c r="F784" s="511">
        <f>SUM(F785)</f>
        <v>613500</v>
      </c>
      <c r="G784" s="534">
        <f>SUM(G785)</f>
        <v>613500</v>
      </c>
      <c r="H784" s="699">
        <f t="shared" si="71"/>
        <v>1</v>
      </c>
      <c r="J784" s="444"/>
    </row>
    <row r="785" spans="1:10" s="506" customFormat="1" ht="15">
      <c r="A785" s="512"/>
      <c r="B785" s="5013"/>
      <c r="C785" s="5073" t="s">
        <v>603</v>
      </c>
      <c r="D785" s="5074"/>
      <c r="E785" s="3072">
        <f>SUM(E786)</f>
        <v>363500</v>
      </c>
      <c r="F785" s="3073">
        <f t="shared" ref="F785:G786" si="74">SUM(F786)</f>
        <v>613500</v>
      </c>
      <c r="G785" s="3074">
        <f t="shared" si="74"/>
        <v>613500</v>
      </c>
      <c r="H785" s="3065">
        <f t="shared" si="71"/>
        <v>1</v>
      </c>
      <c r="J785" s="444"/>
    </row>
    <row r="786" spans="1:10" s="506" customFormat="1" ht="15">
      <c r="A786" s="512"/>
      <c r="B786" s="5013"/>
      <c r="C786" s="5052" t="s">
        <v>604</v>
      </c>
      <c r="D786" s="5053"/>
      <c r="E786" s="3075">
        <f>SUM(E787)</f>
        <v>363500</v>
      </c>
      <c r="F786" s="3035">
        <f t="shared" si="74"/>
        <v>613500</v>
      </c>
      <c r="G786" s="3043">
        <f t="shared" si="74"/>
        <v>613500</v>
      </c>
      <c r="H786" s="2674">
        <f t="shared" si="71"/>
        <v>1</v>
      </c>
      <c r="J786" s="444"/>
    </row>
    <row r="787" spans="1:10" s="506" customFormat="1" ht="28.5" customHeight="1" thickBot="1">
      <c r="A787" s="514"/>
      <c r="B787" s="5049"/>
      <c r="C787" s="3070" t="s">
        <v>812</v>
      </c>
      <c r="D787" s="3071" t="s">
        <v>813</v>
      </c>
      <c r="E787" s="567">
        <v>363500</v>
      </c>
      <c r="F787" s="503">
        <v>613500</v>
      </c>
      <c r="G787" s="702">
        <v>613500</v>
      </c>
      <c r="H787" s="701">
        <f t="shared" si="71"/>
        <v>1</v>
      </c>
      <c r="J787" s="444" t="s">
        <v>645</v>
      </c>
    </row>
    <row r="788" spans="1:10" s="506" customFormat="1" ht="15.75" customHeight="1" thickBot="1">
      <c r="A788" s="512"/>
      <c r="B788" s="508" t="s">
        <v>816</v>
      </c>
      <c r="C788" s="2344"/>
      <c r="D788" s="2345" t="s">
        <v>817</v>
      </c>
      <c r="E788" s="511">
        <f t="shared" ref="E788:G790" si="75">SUM(E789)</f>
        <v>500000</v>
      </c>
      <c r="F788" s="485">
        <f t="shared" si="75"/>
        <v>900000</v>
      </c>
      <c r="G788" s="534">
        <f t="shared" si="75"/>
        <v>900000</v>
      </c>
      <c r="H788" s="699">
        <f t="shared" si="71"/>
        <v>1</v>
      </c>
      <c r="J788" s="444"/>
    </row>
    <row r="789" spans="1:10" s="506" customFormat="1">
      <c r="A789" s="512"/>
      <c r="B789" s="5012"/>
      <c r="C789" s="5076" t="s">
        <v>603</v>
      </c>
      <c r="D789" s="5076"/>
      <c r="E789" s="3072">
        <f t="shared" si="75"/>
        <v>500000</v>
      </c>
      <c r="F789" s="3073">
        <f t="shared" si="75"/>
        <v>900000</v>
      </c>
      <c r="G789" s="3074">
        <f t="shared" si="75"/>
        <v>900000</v>
      </c>
      <c r="H789" s="3065">
        <f t="shared" si="71"/>
        <v>1</v>
      </c>
      <c r="J789" s="444"/>
    </row>
    <row r="790" spans="1:10" s="506" customFormat="1" ht="15">
      <c r="A790" s="512"/>
      <c r="B790" s="5012"/>
      <c r="C790" s="5052" t="s">
        <v>604</v>
      </c>
      <c r="D790" s="5053"/>
      <c r="E790" s="3075">
        <f t="shared" si="75"/>
        <v>500000</v>
      </c>
      <c r="F790" s="3035">
        <f t="shared" si="75"/>
        <v>900000</v>
      </c>
      <c r="G790" s="3043">
        <f t="shared" si="75"/>
        <v>900000</v>
      </c>
      <c r="H790" s="2674">
        <f t="shared" si="71"/>
        <v>1</v>
      </c>
      <c r="J790" s="444"/>
    </row>
    <row r="791" spans="1:10" s="506" customFormat="1" ht="29.25" customHeight="1" thickBot="1">
      <c r="A791" s="514"/>
      <c r="B791" s="5075"/>
      <c r="C791" s="3070" t="s">
        <v>812</v>
      </c>
      <c r="D791" s="3071" t="s">
        <v>813</v>
      </c>
      <c r="E791" s="567">
        <v>500000</v>
      </c>
      <c r="F791" s="503">
        <v>900000</v>
      </c>
      <c r="G791" s="702">
        <v>900000</v>
      </c>
      <c r="H791" s="701">
        <f t="shared" si="71"/>
        <v>1</v>
      </c>
      <c r="J791" s="444" t="s">
        <v>645</v>
      </c>
    </row>
    <row r="792" spans="1:10" s="444" customFormat="1" ht="15" customHeight="1" thickBot="1">
      <c r="A792" s="477"/>
      <c r="B792" s="490" t="s">
        <v>398</v>
      </c>
      <c r="C792" s="491"/>
      <c r="D792" s="492" t="s">
        <v>397</v>
      </c>
      <c r="E792" s="493">
        <f>SUM(E793,E797)</f>
        <v>0</v>
      </c>
      <c r="F792" s="493">
        <f>SUM(F793,F797)</f>
        <v>67960</v>
      </c>
      <c r="G792" s="548">
        <f>SUM(G793,G797)</f>
        <v>67602</v>
      </c>
      <c r="H792" s="699">
        <f t="shared" si="71"/>
        <v>0.9947321954090641</v>
      </c>
    </row>
    <row r="793" spans="1:10" s="444" customFormat="1" ht="15" customHeight="1">
      <c r="A793" s="477"/>
      <c r="B793" s="479"/>
      <c r="C793" s="4977" t="s">
        <v>567</v>
      </c>
      <c r="D793" s="4977"/>
      <c r="E793" s="3073">
        <f t="shared" ref="E793:G794" si="76">SUM(E794)</f>
        <v>0</v>
      </c>
      <c r="F793" s="3073">
        <f t="shared" si="76"/>
        <v>55960</v>
      </c>
      <c r="G793" s="3074">
        <f t="shared" si="76"/>
        <v>55602</v>
      </c>
      <c r="H793" s="3065">
        <f t="shared" si="71"/>
        <v>0.99360257326661905</v>
      </c>
    </row>
    <row r="794" spans="1:10" s="444" customFormat="1" ht="15" customHeight="1">
      <c r="A794" s="477"/>
      <c r="B794" s="479"/>
      <c r="C794" s="5066" t="s">
        <v>640</v>
      </c>
      <c r="D794" s="5066"/>
      <c r="E794" s="3035">
        <f t="shared" si="76"/>
        <v>0</v>
      </c>
      <c r="F794" s="3035">
        <f t="shared" si="76"/>
        <v>55960</v>
      </c>
      <c r="G794" s="3043">
        <f t="shared" si="76"/>
        <v>55602</v>
      </c>
      <c r="H794" s="2674">
        <f t="shared" si="71"/>
        <v>0.99360257326661905</v>
      </c>
    </row>
    <row r="795" spans="1:10" s="444" customFormat="1" ht="27.75" customHeight="1">
      <c r="A795" s="477"/>
      <c r="B795" s="479"/>
      <c r="C795" s="3076" t="s">
        <v>78</v>
      </c>
      <c r="D795" s="3077" t="s">
        <v>702</v>
      </c>
      <c r="E795" s="3035">
        <v>0</v>
      </c>
      <c r="F795" s="3035">
        <v>55960</v>
      </c>
      <c r="G795" s="3043">
        <v>55602</v>
      </c>
      <c r="H795" s="2674">
        <f t="shared" si="71"/>
        <v>0.99360257326661905</v>
      </c>
    </row>
    <row r="796" spans="1:10" s="444" customFormat="1">
      <c r="A796" s="477"/>
      <c r="B796" s="479"/>
      <c r="C796" s="5067"/>
      <c r="D796" s="5068"/>
      <c r="E796" s="3035"/>
      <c r="F796" s="3035"/>
      <c r="G796" s="3043"/>
      <c r="H796" s="2674"/>
    </row>
    <row r="797" spans="1:10" s="444" customFormat="1" ht="15">
      <c r="A797" s="477"/>
      <c r="B797" s="479"/>
      <c r="C797" s="5069" t="s">
        <v>603</v>
      </c>
      <c r="D797" s="5070"/>
      <c r="E797" s="3073">
        <f t="shared" ref="E797:G798" si="77">SUM(E798)</f>
        <v>0</v>
      </c>
      <c r="F797" s="3073">
        <f t="shared" si="77"/>
        <v>12000</v>
      </c>
      <c r="G797" s="3074">
        <f t="shared" si="77"/>
        <v>12000</v>
      </c>
      <c r="H797" s="3065">
        <f t="shared" ref="H797:H823" si="78">G797/F797</f>
        <v>1</v>
      </c>
    </row>
    <row r="798" spans="1:10" s="444" customFormat="1" ht="15">
      <c r="A798" s="477"/>
      <c r="B798" s="479"/>
      <c r="C798" s="5066" t="s">
        <v>604</v>
      </c>
      <c r="D798" s="5071"/>
      <c r="E798" s="3035">
        <f t="shared" si="77"/>
        <v>0</v>
      </c>
      <c r="F798" s="3035">
        <f t="shared" si="77"/>
        <v>12000</v>
      </c>
      <c r="G798" s="3043">
        <f t="shared" si="77"/>
        <v>12000</v>
      </c>
      <c r="H798" s="2674">
        <f t="shared" si="78"/>
        <v>1</v>
      </c>
    </row>
    <row r="799" spans="1:10" s="444" customFormat="1" ht="39" thickBot="1">
      <c r="A799" s="502"/>
      <c r="B799" s="502"/>
      <c r="C799" s="3078" t="s">
        <v>310</v>
      </c>
      <c r="D799" s="3079" t="s">
        <v>693</v>
      </c>
      <c r="E799" s="503">
        <v>0</v>
      </c>
      <c r="F799" s="503">
        <v>12000</v>
      </c>
      <c r="G799" s="702">
        <v>12000</v>
      </c>
      <c r="H799" s="2245">
        <f t="shared" si="78"/>
        <v>1</v>
      </c>
    </row>
    <row r="800" spans="1:10" s="506" customFormat="1" ht="15" customHeight="1" thickBot="1">
      <c r="A800" s="507"/>
      <c r="B800" s="508" t="s">
        <v>818</v>
      </c>
      <c r="C800" s="2530"/>
      <c r="D800" s="2345" t="s">
        <v>396</v>
      </c>
      <c r="E800" s="485">
        <f t="shared" ref="E800:G802" si="79">SUM(E801)</f>
        <v>578600</v>
      </c>
      <c r="F800" s="485">
        <f t="shared" si="79"/>
        <v>578600</v>
      </c>
      <c r="G800" s="534">
        <f t="shared" si="79"/>
        <v>578600</v>
      </c>
      <c r="H800" s="699">
        <f t="shared" si="78"/>
        <v>1</v>
      </c>
      <c r="J800" s="444"/>
    </row>
    <row r="801" spans="1:10" s="506" customFormat="1" ht="15" customHeight="1">
      <c r="A801" s="512"/>
      <c r="B801" s="4829"/>
      <c r="C801" s="5072" t="s">
        <v>567</v>
      </c>
      <c r="D801" s="5072"/>
      <c r="E801" s="2565">
        <f t="shared" si="79"/>
        <v>578600</v>
      </c>
      <c r="F801" s="2565">
        <f t="shared" si="79"/>
        <v>578600</v>
      </c>
      <c r="G801" s="2566">
        <f t="shared" si="79"/>
        <v>578600</v>
      </c>
      <c r="H801" s="3065">
        <f t="shared" si="78"/>
        <v>1</v>
      </c>
      <c r="J801" s="444"/>
    </row>
    <row r="802" spans="1:10" s="506" customFormat="1" ht="15" customHeight="1">
      <c r="A802" s="512"/>
      <c r="B802" s="4830"/>
      <c r="C802" s="5052" t="s">
        <v>640</v>
      </c>
      <c r="D802" s="5052"/>
      <c r="E802" s="3035">
        <f t="shared" si="79"/>
        <v>578600</v>
      </c>
      <c r="F802" s="3035">
        <f t="shared" si="79"/>
        <v>578600</v>
      </c>
      <c r="G802" s="3043">
        <f t="shared" si="79"/>
        <v>578600</v>
      </c>
      <c r="H802" s="2674">
        <f t="shared" si="78"/>
        <v>1</v>
      </c>
      <c r="J802" s="444"/>
    </row>
    <row r="803" spans="1:10" s="506" customFormat="1" ht="51.75" thickBot="1">
      <c r="A803" s="512"/>
      <c r="B803" s="4830"/>
      <c r="C803" s="3081" t="s">
        <v>91</v>
      </c>
      <c r="D803" s="3082" t="s">
        <v>649</v>
      </c>
      <c r="E803" s="3035">
        <v>578600</v>
      </c>
      <c r="F803" s="3035">
        <v>578600</v>
      </c>
      <c r="G803" s="3043">
        <v>578600</v>
      </c>
      <c r="H803" s="2674">
        <f t="shared" si="78"/>
        <v>1</v>
      </c>
      <c r="J803" s="444" t="s">
        <v>645</v>
      </c>
    </row>
    <row r="804" spans="1:10" s="506" customFormat="1" ht="15" customHeight="1" thickBot="1">
      <c r="A804" s="512"/>
      <c r="B804" s="508" t="s">
        <v>395</v>
      </c>
      <c r="C804" s="3083"/>
      <c r="D804" s="3084" t="s">
        <v>159</v>
      </c>
      <c r="E804" s="511">
        <f>SUM(E805,)</f>
        <v>0</v>
      </c>
      <c r="F804" s="485">
        <f t="shared" ref="F804:G804" si="80">SUM(F805,)</f>
        <v>15000</v>
      </c>
      <c r="G804" s="534">
        <f t="shared" si="80"/>
        <v>5496.5</v>
      </c>
      <c r="H804" s="699">
        <f t="shared" si="78"/>
        <v>0.36643333333333333</v>
      </c>
      <c r="J804" s="444"/>
    </row>
    <row r="805" spans="1:10" s="506" customFormat="1" ht="15" customHeight="1">
      <c r="A805" s="512"/>
      <c r="B805" s="579"/>
      <c r="C805" s="4913" t="s">
        <v>567</v>
      </c>
      <c r="D805" s="4914"/>
      <c r="E805" s="2564">
        <f>SUM(E806)</f>
        <v>0</v>
      </c>
      <c r="F805" s="2565">
        <f t="shared" ref="F805:G805" si="81">SUM(F806)</f>
        <v>15000</v>
      </c>
      <c r="G805" s="2566">
        <f t="shared" si="81"/>
        <v>5496.5</v>
      </c>
      <c r="H805" s="3065">
        <f t="shared" si="78"/>
        <v>0.36643333333333333</v>
      </c>
      <c r="J805" s="444"/>
    </row>
    <row r="806" spans="1:10" s="506" customFormat="1" ht="15" customHeight="1">
      <c r="A806" s="512"/>
      <c r="B806" s="574"/>
      <c r="C806" s="5084" t="s">
        <v>568</v>
      </c>
      <c r="D806" s="5085"/>
      <c r="E806" s="3085">
        <f>SUM(E807)</f>
        <v>0</v>
      </c>
      <c r="F806" s="3086">
        <f>SUM(F807)</f>
        <v>15000</v>
      </c>
      <c r="G806" s="3087">
        <f>SUM(G807)</f>
        <v>5496.5</v>
      </c>
      <c r="H806" s="2674">
        <f t="shared" si="78"/>
        <v>0.36643333333333333</v>
      </c>
      <c r="J806" s="444"/>
    </row>
    <row r="807" spans="1:10" s="506" customFormat="1" ht="15" customHeight="1">
      <c r="A807" s="512"/>
      <c r="B807" s="574"/>
      <c r="C807" s="5086" t="s">
        <v>577</v>
      </c>
      <c r="D807" s="5087"/>
      <c r="E807" s="3088">
        <f>SUM(E808:E808)</f>
        <v>0</v>
      </c>
      <c r="F807" s="3089">
        <f>SUM(F808:F808)</f>
        <v>15000</v>
      </c>
      <c r="G807" s="3090">
        <f>SUM(G808:G808)</f>
        <v>5496.5</v>
      </c>
      <c r="H807" s="2674">
        <f t="shared" si="78"/>
        <v>0.36643333333333333</v>
      </c>
      <c r="J807" s="444"/>
    </row>
    <row r="808" spans="1:10" s="506" customFormat="1" ht="15" customHeight="1" thickBot="1">
      <c r="A808" s="593"/>
      <c r="B808" s="3091"/>
      <c r="C808" s="3092" t="s">
        <v>699</v>
      </c>
      <c r="D808" s="3093" t="s">
        <v>700</v>
      </c>
      <c r="E808" s="567">
        <v>0</v>
      </c>
      <c r="F808" s="503">
        <v>15000</v>
      </c>
      <c r="G808" s="702">
        <v>5496.5</v>
      </c>
      <c r="H808" s="2245">
        <f t="shared" si="78"/>
        <v>0.36643333333333333</v>
      </c>
      <c r="J808" s="444"/>
    </row>
    <row r="809" spans="1:10" ht="15" customHeight="1" thickBot="1">
      <c r="A809" s="474" t="s">
        <v>819</v>
      </c>
      <c r="B809" s="496"/>
      <c r="C809" s="497"/>
      <c r="D809" s="498" t="s">
        <v>820</v>
      </c>
      <c r="E809" s="499">
        <f>SUM(E810,E814)</f>
        <v>28587025</v>
      </c>
      <c r="F809" s="499">
        <f>SUM(F810,F814)</f>
        <v>12501292</v>
      </c>
      <c r="G809" s="516">
        <f>SUM(G810,G814)</f>
        <v>12424722.199999999</v>
      </c>
      <c r="H809" s="1112">
        <f t="shared" si="78"/>
        <v>0.99387504907492752</v>
      </c>
    </row>
    <row r="810" spans="1:10" s="506" customFormat="1" ht="39" thickBot="1">
      <c r="A810" s="512"/>
      <c r="B810" s="508" t="s">
        <v>821</v>
      </c>
      <c r="C810" s="509"/>
      <c r="D810" s="510" t="s">
        <v>822</v>
      </c>
      <c r="E810" s="485">
        <f t="shared" ref="E810:G812" si="82">SUM(E811)</f>
        <v>12501292</v>
      </c>
      <c r="F810" s="485">
        <f t="shared" si="82"/>
        <v>12501292</v>
      </c>
      <c r="G810" s="534">
        <f t="shared" si="82"/>
        <v>12424722.199999999</v>
      </c>
      <c r="H810" s="699">
        <f t="shared" si="78"/>
        <v>0.99387504907492752</v>
      </c>
      <c r="J810" s="444"/>
    </row>
    <row r="811" spans="1:10" s="506" customFormat="1" ht="15" customHeight="1">
      <c r="A811" s="512"/>
      <c r="B811" s="4830"/>
      <c r="C811" s="5088" t="s">
        <v>567</v>
      </c>
      <c r="D811" s="5089"/>
      <c r="E811" s="529">
        <f t="shared" si="82"/>
        <v>12501292</v>
      </c>
      <c r="F811" s="529">
        <f t="shared" si="82"/>
        <v>12501292</v>
      </c>
      <c r="G811" s="700">
        <f t="shared" si="82"/>
        <v>12424722.199999999</v>
      </c>
      <c r="H811" s="1077">
        <f t="shared" si="78"/>
        <v>0.99387504907492752</v>
      </c>
      <c r="J811" s="444"/>
    </row>
    <row r="812" spans="1:10" s="506" customFormat="1" ht="15" customHeight="1">
      <c r="A812" s="512"/>
      <c r="B812" s="4830"/>
      <c r="C812" s="5090" t="s">
        <v>823</v>
      </c>
      <c r="D812" s="5078"/>
      <c r="E812" s="597">
        <f t="shared" si="82"/>
        <v>12501292</v>
      </c>
      <c r="F812" s="597">
        <f t="shared" si="82"/>
        <v>12501292</v>
      </c>
      <c r="G812" s="1081">
        <f t="shared" si="82"/>
        <v>12424722.199999999</v>
      </c>
      <c r="H812" s="1078">
        <f t="shared" si="78"/>
        <v>0.99387504907492752</v>
      </c>
      <c r="J812" s="444"/>
    </row>
    <row r="813" spans="1:10" s="506" customFormat="1" ht="26.25" thickBot="1">
      <c r="A813" s="512"/>
      <c r="B813" s="4831"/>
      <c r="C813" s="591" t="s">
        <v>824</v>
      </c>
      <c r="D813" s="592" t="s">
        <v>825</v>
      </c>
      <c r="E813" s="503">
        <v>12501292</v>
      </c>
      <c r="F813" s="503">
        <v>12501292</v>
      </c>
      <c r="G813" s="702">
        <v>12424722.199999999</v>
      </c>
      <c r="H813" s="701">
        <f t="shared" si="78"/>
        <v>0.99387504907492752</v>
      </c>
      <c r="J813" s="444"/>
    </row>
    <row r="814" spans="1:10" s="506" customFormat="1" ht="26.25" thickBot="1">
      <c r="A814" s="514"/>
      <c r="B814" s="508" t="s">
        <v>826</v>
      </c>
      <c r="C814" s="509"/>
      <c r="D814" s="510" t="s">
        <v>827</v>
      </c>
      <c r="E814" s="511">
        <f t="shared" ref="E814:G816" si="83">SUM(E815)</f>
        <v>16085733</v>
      </c>
      <c r="F814" s="485">
        <f t="shared" si="83"/>
        <v>0</v>
      </c>
      <c r="G814" s="534">
        <f t="shared" si="83"/>
        <v>0</v>
      </c>
      <c r="H814" s="699"/>
      <c r="J814" s="444"/>
    </row>
    <row r="815" spans="1:10" s="506" customFormat="1" ht="15" customHeight="1">
      <c r="A815" s="573"/>
      <c r="B815" s="4830"/>
      <c r="C815" s="5077" t="s">
        <v>567</v>
      </c>
      <c r="D815" s="5077"/>
      <c r="E815" s="538">
        <f t="shared" si="83"/>
        <v>16085733</v>
      </c>
      <c r="F815" s="529">
        <f t="shared" si="83"/>
        <v>0</v>
      </c>
      <c r="G815" s="700">
        <f t="shared" si="83"/>
        <v>0</v>
      </c>
      <c r="H815" s="1077"/>
      <c r="J815" s="444"/>
    </row>
    <row r="816" spans="1:10" s="506" customFormat="1" ht="15" customHeight="1">
      <c r="A816" s="573"/>
      <c r="B816" s="4830"/>
      <c r="C816" s="5078" t="s">
        <v>828</v>
      </c>
      <c r="D816" s="5078"/>
      <c r="E816" s="590">
        <f t="shared" si="83"/>
        <v>16085733</v>
      </c>
      <c r="F816" s="597">
        <f t="shared" si="83"/>
        <v>0</v>
      </c>
      <c r="G816" s="1081">
        <f t="shared" si="83"/>
        <v>0</v>
      </c>
      <c r="H816" s="1078"/>
      <c r="J816" s="444"/>
    </row>
    <row r="817" spans="1:10" s="506" customFormat="1" ht="15" customHeight="1" thickBot="1">
      <c r="A817" s="593"/>
      <c r="B817" s="4831"/>
      <c r="C817" s="594" t="s">
        <v>829</v>
      </c>
      <c r="D817" s="592" t="s">
        <v>830</v>
      </c>
      <c r="E817" s="567">
        <v>16085733</v>
      </c>
      <c r="F817" s="503">
        <v>0</v>
      </c>
      <c r="G817" s="702">
        <v>0</v>
      </c>
      <c r="H817" s="701"/>
      <c r="J817" s="444"/>
    </row>
    <row r="818" spans="1:10" ht="15" customHeight="1" thickBot="1">
      <c r="A818" s="2312" t="s">
        <v>394</v>
      </c>
      <c r="B818" s="1989"/>
      <c r="C818" s="1990"/>
      <c r="D818" s="595" t="s">
        <v>831</v>
      </c>
      <c r="E818" s="3061">
        <f>SUM(E819)</f>
        <v>102260000</v>
      </c>
      <c r="F818" s="3094">
        <f>SUM(F819)</f>
        <v>5877755</v>
      </c>
      <c r="G818" s="3095">
        <f>SUM(G819)</f>
        <v>0</v>
      </c>
      <c r="H818" s="1146">
        <f t="shared" si="78"/>
        <v>0</v>
      </c>
    </row>
    <row r="819" spans="1:10" ht="15" customHeight="1" thickBot="1">
      <c r="A819" s="477"/>
      <c r="B819" s="484" t="s">
        <v>832</v>
      </c>
      <c r="C819" s="2049"/>
      <c r="D819" s="3096" t="s">
        <v>833</v>
      </c>
      <c r="E819" s="485">
        <f>SUM(E820,E825)</f>
        <v>102260000</v>
      </c>
      <c r="F819" s="511">
        <f>SUM(F820,F825)</f>
        <v>5877755</v>
      </c>
      <c r="G819" s="540">
        <f>SUM(G820,G825)</f>
        <v>0</v>
      </c>
      <c r="H819" s="1147">
        <f t="shared" si="78"/>
        <v>0</v>
      </c>
      <c r="I819" s="596"/>
    </row>
    <row r="820" spans="1:10" ht="15" customHeight="1">
      <c r="A820" s="477"/>
      <c r="B820" s="494"/>
      <c r="C820" s="4977" t="s">
        <v>567</v>
      </c>
      <c r="D820" s="5079"/>
      <c r="E820" s="2246">
        <f t="shared" ref="E820:G822" si="84">SUM(E821)</f>
        <v>40660000</v>
      </c>
      <c r="F820" s="3097">
        <f t="shared" si="84"/>
        <v>862010</v>
      </c>
      <c r="G820" s="3098">
        <f t="shared" si="84"/>
        <v>0</v>
      </c>
      <c r="H820" s="3099">
        <f t="shared" si="78"/>
        <v>0</v>
      </c>
      <c r="I820" s="596"/>
    </row>
    <row r="821" spans="1:10" ht="15" customHeight="1">
      <c r="A821" s="477"/>
      <c r="B821" s="494"/>
      <c r="C821" s="5080" t="s">
        <v>568</v>
      </c>
      <c r="D821" s="5081"/>
      <c r="E821" s="3100">
        <f t="shared" si="84"/>
        <v>40660000</v>
      </c>
      <c r="F821" s="3101">
        <f t="shared" si="84"/>
        <v>862010</v>
      </c>
      <c r="G821" s="3102">
        <f t="shared" si="84"/>
        <v>0</v>
      </c>
      <c r="H821" s="3103">
        <f t="shared" si="78"/>
        <v>0</v>
      </c>
      <c r="I821" s="596"/>
    </row>
    <row r="822" spans="1:10" ht="15" customHeight="1">
      <c r="A822" s="477"/>
      <c r="B822" s="494"/>
      <c r="C822" s="5082" t="s">
        <v>577</v>
      </c>
      <c r="D822" s="5083"/>
      <c r="E822" s="3104">
        <f t="shared" si="84"/>
        <v>40660000</v>
      </c>
      <c r="F822" s="3105">
        <f t="shared" si="84"/>
        <v>862010</v>
      </c>
      <c r="G822" s="3106">
        <f t="shared" si="84"/>
        <v>0</v>
      </c>
      <c r="H822" s="3103">
        <f t="shared" si="78"/>
        <v>0</v>
      </c>
      <c r="I822" s="596"/>
    </row>
    <row r="823" spans="1:10" ht="13.5" customHeight="1">
      <c r="A823" s="477"/>
      <c r="B823" s="494"/>
      <c r="C823" s="3107" t="s">
        <v>834</v>
      </c>
      <c r="D823" s="3108" t="s">
        <v>835</v>
      </c>
      <c r="E823" s="3100">
        <f>40860000-200000</f>
        <v>40660000</v>
      </c>
      <c r="F823" s="3101">
        <v>862010</v>
      </c>
      <c r="G823" s="3102">
        <v>0</v>
      </c>
      <c r="H823" s="3103">
        <f t="shared" si="78"/>
        <v>0</v>
      </c>
      <c r="I823" s="596"/>
    </row>
    <row r="824" spans="1:10" ht="9.75" customHeight="1">
      <c r="A824" s="479"/>
      <c r="B824" s="494"/>
      <c r="C824" s="3109"/>
      <c r="D824" s="3110"/>
      <c r="E824" s="3100"/>
      <c r="F824" s="3101"/>
      <c r="G824" s="3102"/>
      <c r="H824" s="3103"/>
      <c r="I824" s="596"/>
    </row>
    <row r="825" spans="1:10" ht="15" customHeight="1">
      <c r="A825" s="477"/>
      <c r="B825" s="494"/>
      <c r="C825" s="5095" t="s">
        <v>603</v>
      </c>
      <c r="D825" s="5096"/>
      <c r="E825" s="529">
        <f t="shared" ref="E825:G826" si="85">SUM(E826)</f>
        <v>61600000</v>
      </c>
      <c r="F825" s="538">
        <f t="shared" si="85"/>
        <v>5015745</v>
      </c>
      <c r="G825" s="1148">
        <f t="shared" si="85"/>
        <v>0</v>
      </c>
      <c r="H825" s="3099">
        <f t="shared" ref="H825:H844" si="86">G825/F825</f>
        <v>0</v>
      </c>
      <c r="I825" s="596"/>
    </row>
    <row r="826" spans="1:10" ht="15" customHeight="1">
      <c r="A826" s="477"/>
      <c r="B826" s="494"/>
      <c r="C826" s="5093" t="s">
        <v>604</v>
      </c>
      <c r="D826" s="5097"/>
      <c r="E826" s="3111">
        <f t="shared" si="85"/>
        <v>61600000</v>
      </c>
      <c r="F826" s="3112">
        <f t="shared" si="85"/>
        <v>5015745</v>
      </c>
      <c r="G826" s="3113">
        <f t="shared" si="85"/>
        <v>0</v>
      </c>
      <c r="H826" s="3103">
        <f t="shared" si="86"/>
        <v>0</v>
      </c>
      <c r="I826" s="596"/>
    </row>
    <row r="827" spans="1:10" ht="15" customHeight="1" thickBot="1">
      <c r="A827" s="501"/>
      <c r="B827" s="598"/>
      <c r="C827" s="599" t="s">
        <v>836</v>
      </c>
      <c r="D827" s="600" t="s">
        <v>837</v>
      </c>
      <c r="E827" s="503">
        <v>61600000</v>
      </c>
      <c r="F827" s="567">
        <v>5015745</v>
      </c>
      <c r="G827" s="1149">
        <v>0</v>
      </c>
      <c r="H827" s="2469">
        <f t="shared" si="86"/>
        <v>0</v>
      </c>
    </row>
    <row r="828" spans="1:10" ht="15" customHeight="1" thickBot="1">
      <c r="A828" s="2312" t="s">
        <v>393</v>
      </c>
      <c r="B828" s="496"/>
      <c r="C828" s="3114"/>
      <c r="D828" s="3115" t="s">
        <v>838</v>
      </c>
      <c r="E828" s="499">
        <f>SUM(E829,E833,E864,E883,E924,E992,E1038,E1044)</f>
        <v>59829087</v>
      </c>
      <c r="F828" s="499">
        <f t="shared" ref="F828:G828" si="87">SUM(F829,F833,F864,F883,F924,F992,F1038,F1044)</f>
        <v>68851964</v>
      </c>
      <c r="G828" s="516">
        <f t="shared" si="87"/>
        <v>64526182.850000001</v>
      </c>
      <c r="H828" s="1112">
        <f t="shared" si="86"/>
        <v>0.93717272683753805</v>
      </c>
    </row>
    <row r="829" spans="1:10" s="444" customFormat="1" ht="15" customHeight="1" thickBot="1">
      <c r="A829" s="550"/>
      <c r="B829" s="484" t="s">
        <v>839</v>
      </c>
      <c r="C829" s="2049"/>
      <c r="D829" s="2050" t="s">
        <v>840</v>
      </c>
      <c r="E829" s="534">
        <f>SUM(E830)</f>
        <v>0</v>
      </c>
      <c r="F829" s="534">
        <f t="shared" ref="F829:G829" si="88">SUM(F830)</f>
        <v>24000</v>
      </c>
      <c r="G829" s="534">
        <f t="shared" si="88"/>
        <v>24000</v>
      </c>
      <c r="H829" s="699">
        <f t="shared" si="86"/>
        <v>1</v>
      </c>
    </row>
    <row r="830" spans="1:10" s="444" customFormat="1" ht="15" customHeight="1">
      <c r="A830" s="554"/>
      <c r="B830" s="5098"/>
      <c r="C830" s="5100" t="s">
        <v>603</v>
      </c>
      <c r="D830" s="5101"/>
      <c r="E830" s="601">
        <f t="shared" ref="E830:G831" si="89">SUM(E831)</f>
        <v>0</v>
      </c>
      <c r="F830" s="601">
        <f t="shared" si="89"/>
        <v>24000</v>
      </c>
      <c r="G830" s="1082">
        <f t="shared" si="89"/>
        <v>24000</v>
      </c>
      <c r="H830" s="1122">
        <f t="shared" si="86"/>
        <v>1</v>
      </c>
    </row>
    <row r="831" spans="1:10" s="444" customFormat="1" ht="15" customHeight="1">
      <c r="A831" s="554"/>
      <c r="B831" s="5098"/>
      <c r="C831" s="5093" t="s">
        <v>604</v>
      </c>
      <c r="D831" s="5097"/>
      <c r="E831" s="3116">
        <f t="shared" si="89"/>
        <v>0</v>
      </c>
      <c r="F831" s="3116">
        <f t="shared" si="89"/>
        <v>24000</v>
      </c>
      <c r="G831" s="3117">
        <f t="shared" si="89"/>
        <v>24000</v>
      </c>
      <c r="H831" s="1114">
        <f t="shared" si="86"/>
        <v>1</v>
      </c>
    </row>
    <row r="832" spans="1:10" s="444" customFormat="1" ht="39" thickBot="1">
      <c r="A832" s="554"/>
      <c r="B832" s="5099"/>
      <c r="C832" s="531" t="s">
        <v>310</v>
      </c>
      <c r="D832" s="545" t="s">
        <v>693</v>
      </c>
      <c r="E832" s="3100">
        <v>0</v>
      </c>
      <c r="F832" s="3100">
        <v>24000</v>
      </c>
      <c r="G832" s="3118">
        <v>24000</v>
      </c>
      <c r="H832" s="701">
        <f t="shared" si="86"/>
        <v>1</v>
      </c>
    </row>
    <row r="833" spans="1:8" s="444" customFormat="1" ht="15" customHeight="1" thickBot="1">
      <c r="A833" s="602"/>
      <c r="B833" s="484" t="s">
        <v>841</v>
      </c>
      <c r="C833" s="2049"/>
      <c r="D833" s="2050" t="s">
        <v>195</v>
      </c>
      <c r="E833" s="485">
        <f>SUM(E834)</f>
        <v>7749234</v>
      </c>
      <c r="F833" s="485">
        <f>SUM(F834)</f>
        <v>8052286</v>
      </c>
      <c r="G833" s="534">
        <f>SUM(G834)</f>
        <v>8011216.0800000001</v>
      </c>
      <c r="H833" s="699">
        <f t="shared" si="86"/>
        <v>0.99489959497216074</v>
      </c>
    </row>
    <row r="834" spans="1:8" s="444" customFormat="1" ht="15" customHeight="1">
      <c r="A834" s="477"/>
      <c r="B834" s="479"/>
      <c r="C834" s="5094" t="s">
        <v>567</v>
      </c>
      <c r="D834" s="5094"/>
      <c r="E834" s="486">
        <f>SUM(E835,E861)</f>
        <v>7749234</v>
      </c>
      <c r="F834" s="486">
        <f>SUM(F835,F861)</f>
        <v>8052286</v>
      </c>
      <c r="G834" s="605">
        <f>SUM(G835,G861)</f>
        <v>8011216.0800000001</v>
      </c>
      <c r="H834" s="1122">
        <f t="shared" si="86"/>
        <v>0.99489959497216074</v>
      </c>
    </row>
    <row r="835" spans="1:8" s="444" customFormat="1" ht="15" customHeight="1">
      <c r="A835" s="477"/>
      <c r="B835" s="479"/>
      <c r="C835" s="5080" t="s">
        <v>568</v>
      </c>
      <c r="D835" s="5080"/>
      <c r="E835" s="3100">
        <f>SUM(E836,E846)</f>
        <v>7682216</v>
      </c>
      <c r="F835" s="3100">
        <f>SUM(F836,F846)</f>
        <v>7881903</v>
      </c>
      <c r="G835" s="3118">
        <f>SUM(G836,G846)</f>
        <v>7840870</v>
      </c>
      <c r="H835" s="1114">
        <f t="shared" si="86"/>
        <v>0.99479402372751857</v>
      </c>
    </row>
    <row r="836" spans="1:8" s="444" customFormat="1" ht="15" customHeight="1">
      <c r="A836" s="477"/>
      <c r="B836" s="479"/>
      <c r="C836" s="5091" t="s">
        <v>569</v>
      </c>
      <c r="D836" s="5091"/>
      <c r="E836" s="3104">
        <f>SUM(E837:E844)</f>
        <v>7154995</v>
      </c>
      <c r="F836" s="3104">
        <f>SUM(F837:F844)</f>
        <v>7340013</v>
      </c>
      <c r="G836" s="3119">
        <f>SUM(G837:G844)</f>
        <v>7304270.2199999997</v>
      </c>
      <c r="H836" s="3120">
        <f t="shared" si="86"/>
        <v>0.99513042006873831</v>
      </c>
    </row>
    <row r="837" spans="1:8" s="444" customFormat="1" ht="15" customHeight="1">
      <c r="A837" s="477"/>
      <c r="B837" s="479"/>
      <c r="C837" s="3121" t="s">
        <v>337</v>
      </c>
      <c r="D837" s="3122" t="s">
        <v>571</v>
      </c>
      <c r="E837" s="3100">
        <v>746282</v>
      </c>
      <c r="F837" s="3100">
        <v>679107</v>
      </c>
      <c r="G837" s="3118">
        <v>679106.14</v>
      </c>
      <c r="H837" s="1114">
        <f t="shared" si="86"/>
        <v>0.99999873363107727</v>
      </c>
    </row>
    <row r="838" spans="1:8" s="444" customFormat="1" ht="15" customHeight="1">
      <c r="A838" s="477"/>
      <c r="B838" s="479"/>
      <c r="C838" s="3121" t="s">
        <v>336</v>
      </c>
      <c r="D838" s="3122" t="s">
        <v>572</v>
      </c>
      <c r="E838" s="3100">
        <v>49018</v>
      </c>
      <c r="F838" s="3100">
        <v>47852</v>
      </c>
      <c r="G838" s="3118">
        <v>47851.68</v>
      </c>
      <c r="H838" s="1114">
        <f t="shared" si="86"/>
        <v>0.99999331271420211</v>
      </c>
    </row>
    <row r="839" spans="1:8" s="444" customFormat="1" ht="15" customHeight="1">
      <c r="A839" s="477"/>
      <c r="B839" s="479"/>
      <c r="C839" s="3121" t="s">
        <v>315</v>
      </c>
      <c r="D839" s="3122" t="s">
        <v>573</v>
      </c>
      <c r="E839" s="3100">
        <v>1041588</v>
      </c>
      <c r="F839" s="3100">
        <v>1041948</v>
      </c>
      <c r="G839" s="3118">
        <v>1034235.65</v>
      </c>
      <c r="H839" s="1114">
        <f t="shared" si="86"/>
        <v>0.99259814309351335</v>
      </c>
    </row>
    <row r="840" spans="1:8" s="444" customFormat="1" ht="15" customHeight="1">
      <c r="A840" s="477"/>
      <c r="B840" s="479"/>
      <c r="C840" s="3121" t="s">
        <v>314</v>
      </c>
      <c r="D840" s="3122" t="s">
        <v>574</v>
      </c>
      <c r="E840" s="3100">
        <v>139398</v>
      </c>
      <c r="F840" s="3100">
        <v>111433</v>
      </c>
      <c r="G840" s="3118">
        <v>106218.72</v>
      </c>
      <c r="H840" s="1114">
        <f t="shared" si="86"/>
        <v>0.95320703920741612</v>
      </c>
    </row>
    <row r="841" spans="1:8" s="444" customFormat="1" ht="15" customHeight="1">
      <c r="A841" s="477"/>
      <c r="B841" s="479"/>
      <c r="C841" s="3121" t="s">
        <v>319</v>
      </c>
      <c r="D841" s="3122" t="s">
        <v>842</v>
      </c>
      <c r="E841" s="3100">
        <v>12420</v>
      </c>
      <c r="F841" s="3100">
        <v>10800</v>
      </c>
      <c r="G841" s="3118">
        <v>10800</v>
      </c>
      <c r="H841" s="1114">
        <f t="shared" si="86"/>
        <v>1</v>
      </c>
    </row>
    <row r="842" spans="1:8" s="444" customFormat="1" ht="15" customHeight="1">
      <c r="A842" s="477"/>
      <c r="B842" s="479"/>
      <c r="C842" s="3123" t="s">
        <v>335</v>
      </c>
      <c r="D842" s="3124" t="s">
        <v>576</v>
      </c>
      <c r="E842" s="3100">
        <v>17518</v>
      </c>
      <c r="F842" s="3100">
        <v>20100</v>
      </c>
      <c r="G842" s="3118">
        <v>19944.41</v>
      </c>
      <c r="H842" s="1114">
        <f t="shared" si="86"/>
        <v>0.99225920398009948</v>
      </c>
    </row>
    <row r="843" spans="1:8" s="444" customFormat="1" ht="15" customHeight="1">
      <c r="A843" s="479"/>
      <c r="B843" s="479"/>
      <c r="C843" s="2046" t="s">
        <v>843</v>
      </c>
      <c r="D843" s="2047" t="s">
        <v>844</v>
      </c>
      <c r="E843" s="481">
        <v>4765551</v>
      </c>
      <c r="F843" s="481">
        <v>5074603</v>
      </c>
      <c r="G843" s="604">
        <v>5051945.2300000004</v>
      </c>
      <c r="H843" s="1114">
        <f t="shared" si="86"/>
        <v>0.99553506550167581</v>
      </c>
    </row>
    <row r="844" spans="1:8" s="444" customFormat="1" ht="15" customHeight="1">
      <c r="A844" s="477"/>
      <c r="B844" s="479"/>
      <c r="C844" s="3121" t="s">
        <v>845</v>
      </c>
      <c r="D844" s="3122" t="s">
        <v>846</v>
      </c>
      <c r="E844" s="3100">
        <v>383220</v>
      </c>
      <c r="F844" s="3100">
        <v>354170</v>
      </c>
      <c r="G844" s="3118">
        <v>354168.39</v>
      </c>
      <c r="H844" s="1114">
        <f t="shared" si="86"/>
        <v>0.99999545416043145</v>
      </c>
    </row>
    <row r="845" spans="1:8" ht="15" customHeight="1">
      <c r="A845" s="477"/>
      <c r="B845" s="479"/>
      <c r="C845" s="3125"/>
      <c r="D845" s="2663"/>
      <c r="E845" s="3100"/>
      <c r="F845" s="3126"/>
      <c r="G845" s="3127"/>
      <c r="H845" s="656"/>
    </row>
    <row r="846" spans="1:8" s="444" customFormat="1" ht="15" customHeight="1">
      <c r="A846" s="479"/>
      <c r="B846" s="479"/>
      <c r="C846" s="5092" t="s">
        <v>577</v>
      </c>
      <c r="D846" s="5092"/>
      <c r="E846" s="556">
        <f>SUM(E847:E859)</f>
        <v>527221</v>
      </c>
      <c r="F846" s="556">
        <f>SUM(F847:F859)</f>
        <v>541890</v>
      </c>
      <c r="G846" s="1079">
        <f>SUM(G847:G859)</f>
        <v>536599.78</v>
      </c>
      <c r="H846" s="3120">
        <f t="shared" ref="H846:H859" si="90">G846/F846</f>
        <v>0.99023746516820765</v>
      </c>
    </row>
    <row r="847" spans="1:8" s="444" customFormat="1" ht="15" customHeight="1">
      <c r="A847" s="477"/>
      <c r="B847" s="479"/>
      <c r="C847" s="3121" t="s">
        <v>313</v>
      </c>
      <c r="D847" s="3122" t="s">
        <v>579</v>
      </c>
      <c r="E847" s="3100">
        <v>20005</v>
      </c>
      <c r="F847" s="3100">
        <v>22805</v>
      </c>
      <c r="G847" s="3118">
        <v>22703.17</v>
      </c>
      <c r="H847" s="1114">
        <f t="shared" si="90"/>
        <v>0.99553475115106327</v>
      </c>
    </row>
    <row r="848" spans="1:8" s="444" customFormat="1" ht="15" customHeight="1">
      <c r="A848" s="477"/>
      <c r="B848" s="479"/>
      <c r="C848" s="3121" t="s">
        <v>332</v>
      </c>
      <c r="D848" s="3122" t="s">
        <v>847</v>
      </c>
      <c r="E848" s="3100">
        <v>12878</v>
      </c>
      <c r="F848" s="3100">
        <v>8378</v>
      </c>
      <c r="G848" s="3118">
        <v>8378</v>
      </c>
      <c r="H848" s="1114">
        <f t="shared" si="90"/>
        <v>1</v>
      </c>
    </row>
    <row r="849" spans="1:8" s="444" customFormat="1" ht="15" customHeight="1">
      <c r="A849" s="477"/>
      <c r="B849" s="479"/>
      <c r="C849" s="3107" t="s">
        <v>331</v>
      </c>
      <c r="D849" s="3128" t="s">
        <v>581</v>
      </c>
      <c r="E849" s="3111">
        <v>44880</v>
      </c>
      <c r="F849" s="3111">
        <v>34880</v>
      </c>
      <c r="G849" s="3129">
        <v>34144.660000000003</v>
      </c>
      <c r="H849" s="1114">
        <f t="shared" si="90"/>
        <v>0.97891800458715605</v>
      </c>
    </row>
    <row r="850" spans="1:8" s="444" customFormat="1" ht="15" customHeight="1">
      <c r="A850" s="477"/>
      <c r="B850" s="479"/>
      <c r="C850" s="3130" t="s">
        <v>330</v>
      </c>
      <c r="D850" s="3131" t="s">
        <v>582</v>
      </c>
      <c r="E850" s="3100">
        <v>4135</v>
      </c>
      <c r="F850" s="3100">
        <v>4135</v>
      </c>
      <c r="G850" s="3118">
        <v>4072.4</v>
      </c>
      <c r="H850" s="1114">
        <f t="shared" si="90"/>
        <v>0.98486094316807737</v>
      </c>
    </row>
    <row r="851" spans="1:8" s="444" customFormat="1" ht="15" customHeight="1">
      <c r="A851" s="477"/>
      <c r="B851" s="479"/>
      <c r="C851" s="531" t="s">
        <v>329</v>
      </c>
      <c r="D851" s="532" t="s">
        <v>583</v>
      </c>
      <c r="E851" s="481">
        <v>4750</v>
      </c>
      <c r="F851" s="481">
        <v>10250</v>
      </c>
      <c r="G851" s="604">
        <v>9533</v>
      </c>
      <c r="H851" s="1114">
        <f t="shared" si="90"/>
        <v>0.93004878048780493</v>
      </c>
    </row>
    <row r="852" spans="1:8" s="444" customFormat="1" ht="15" customHeight="1">
      <c r="A852" s="477"/>
      <c r="B852" s="479"/>
      <c r="C852" s="3130" t="s">
        <v>312</v>
      </c>
      <c r="D852" s="3131" t="s">
        <v>584</v>
      </c>
      <c r="E852" s="3100">
        <v>50808</v>
      </c>
      <c r="F852" s="3100">
        <v>42415</v>
      </c>
      <c r="G852" s="3118">
        <v>41278.720000000001</v>
      </c>
      <c r="H852" s="1114">
        <f t="shared" si="90"/>
        <v>0.97321042084168341</v>
      </c>
    </row>
    <row r="853" spans="1:8" s="444" customFormat="1" ht="15" customHeight="1">
      <c r="A853" s="477"/>
      <c r="B853" s="479"/>
      <c r="C853" s="3130" t="s">
        <v>328</v>
      </c>
      <c r="D853" s="3131" t="s">
        <v>585</v>
      </c>
      <c r="E853" s="3100">
        <v>6817</v>
      </c>
      <c r="F853" s="3100">
        <v>6817</v>
      </c>
      <c r="G853" s="3118">
        <v>5700.61</v>
      </c>
      <c r="H853" s="1114">
        <f t="shared" si="90"/>
        <v>0.83623441396508724</v>
      </c>
    </row>
    <row r="854" spans="1:8" s="444" customFormat="1" ht="25.5">
      <c r="A854" s="479"/>
      <c r="B854" s="479"/>
      <c r="C854" s="3132" t="s">
        <v>587</v>
      </c>
      <c r="D854" s="603" t="s">
        <v>588</v>
      </c>
      <c r="E854" s="481">
        <v>130425</v>
      </c>
      <c r="F854" s="481">
        <v>129470</v>
      </c>
      <c r="G854" s="604">
        <v>129116.02</v>
      </c>
      <c r="H854" s="1114">
        <f t="shared" si="90"/>
        <v>0.99726593033135091</v>
      </c>
    </row>
    <row r="855" spans="1:8" s="444" customFormat="1" ht="15" customHeight="1">
      <c r="A855" s="477"/>
      <c r="B855" s="479"/>
      <c r="C855" s="2046" t="s">
        <v>326</v>
      </c>
      <c r="D855" s="2047" t="s">
        <v>589</v>
      </c>
      <c r="E855" s="3100">
        <v>3708</v>
      </c>
      <c r="F855" s="3100">
        <v>3343</v>
      </c>
      <c r="G855" s="3118">
        <v>2512.1999999999998</v>
      </c>
      <c r="H855" s="1114">
        <f t="shared" si="90"/>
        <v>0.75148070595273697</v>
      </c>
    </row>
    <row r="856" spans="1:8" s="444" customFormat="1" ht="15" customHeight="1">
      <c r="A856" s="477"/>
      <c r="B856" s="479"/>
      <c r="C856" s="2046" t="s">
        <v>325</v>
      </c>
      <c r="D856" s="2047" t="s">
        <v>592</v>
      </c>
      <c r="E856" s="3100">
        <v>1903</v>
      </c>
      <c r="F856" s="3100">
        <v>1903</v>
      </c>
      <c r="G856" s="3118">
        <v>1769</v>
      </c>
      <c r="H856" s="1114">
        <f t="shared" si="90"/>
        <v>0.92958486600105095</v>
      </c>
    </row>
    <row r="857" spans="1:8" s="444" customFormat="1" ht="15" customHeight="1" thickBot="1">
      <c r="A857" s="501"/>
      <c r="B857" s="502"/>
      <c r="C857" s="3133" t="s">
        <v>324</v>
      </c>
      <c r="D857" s="3134" t="s">
        <v>593</v>
      </c>
      <c r="E857" s="503">
        <v>241412</v>
      </c>
      <c r="F857" s="503">
        <v>267789</v>
      </c>
      <c r="G857" s="702">
        <v>267789</v>
      </c>
      <c r="H857" s="2245">
        <f t="shared" si="90"/>
        <v>1</v>
      </c>
    </row>
    <row r="858" spans="1:8" s="444" customFormat="1" ht="15" customHeight="1">
      <c r="A858" s="500"/>
      <c r="B858" s="2966"/>
      <c r="C858" s="3135" t="s">
        <v>647</v>
      </c>
      <c r="D858" s="2329" t="s">
        <v>648</v>
      </c>
      <c r="E858" s="2992">
        <v>0</v>
      </c>
      <c r="F858" s="2992">
        <v>1940</v>
      </c>
      <c r="G858" s="2993">
        <v>1940</v>
      </c>
      <c r="H858" s="2994">
        <f t="shared" si="90"/>
        <v>1</v>
      </c>
    </row>
    <row r="859" spans="1:8" s="444" customFormat="1" ht="15" customHeight="1">
      <c r="A859" s="477"/>
      <c r="B859" s="5022"/>
      <c r="C859" s="3121" t="s">
        <v>322</v>
      </c>
      <c r="D859" s="3122" t="s">
        <v>600</v>
      </c>
      <c r="E859" s="3100">
        <v>5500</v>
      </c>
      <c r="F859" s="3100">
        <v>7765</v>
      </c>
      <c r="G859" s="3118">
        <v>7663</v>
      </c>
      <c r="H859" s="1114">
        <f t="shared" si="90"/>
        <v>0.98686413393432071</v>
      </c>
    </row>
    <row r="860" spans="1:8" ht="15" customHeight="1">
      <c r="A860" s="477"/>
      <c r="B860" s="5022"/>
      <c r="C860" s="526"/>
      <c r="D860" s="526"/>
      <c r="E860" s="3100"/>
      <c r="F860" s="3126"/>
      <c r="G860" s="3127"/>
      <c r="H860" s="656"/>
    </row>
    <row r="861" spans="1:8" s="444" customFormat="1" ht="15" customHeight="1">
      <c r="A861" s="477"/>
      <c r="B861" s="5022"/>
      <c r="C861" s="5093" t="s">
        <v>773</v>
      </c>
      <c r="D861" s="5093"/>
      <c r="E861" s="3100">
        <f>SUM(E862:E863)</f>
        <v>67018</v>
      </c>
      <c r="F861" s="3100">
        <f t="shared" ref="F861:G861" si="91">SUM(F862:F863)</f>
        <v>170383</v>
      </c>
      <c r="G861" s="3118">
        <f t="shared" si="91"/>
        <v>170346.08000000002</v>
      </c>
      <c r="H861" s="1114">
        <f>G861/F861</f>
        <v>0.99978331171537071</v>
      </c>
    </row>
    <row r="862" spans="1:8" s="444" customFormat="1" ht="15" customHeight="1">
      <c r="A862" s="477"/>
      <c r="B862" s="5022"/>
      <c r="C862" s="3107" t="s">
        <v>321</v>
      </c>
      <c r="D862" s="3128" t="s">
        <v>602</v>
      </c>
      <c r="E862" s="3100">
        <v>67018</v>
      </c>
      <c r="F862" s="3100">
        <v>90508</v>
      </c>
      <c r="G862" s="3118">
        <v>90471.08</v>
      </c>
      <c r="H862" s="1114">
        <f>G862/F862</f>
        <v>0.99959208025809876</v>
      </c>
    </row>
    <row r="863" spans="1:8" s="444" customFormat="1" ht="15" customHeight="1" thickBot="1">
      <c r="A863" s="477"/>
      <c r="B863" s="479"/>
      <c r="C863" s="3107" t="s">
        <v>848</v>
      </c>
      <c r="D863" s="3136" t="s">
        <v>849</v>
      </c>
      <c r="E863" s="3100">
        <v>0</v>
      </c>
      <c r="F863" s="3100">
        <v>79875</v>
      </c>
      <c r="G863" s="3118">
        <v>79875</v>
      </c>
      <c r="H863" s="1114">
        <f>G863/F863</f>
        <v>1</v>
      </c>
    </row>
    <row r="864" spans="1:8" s="444" customFormat="1" ht="15" customHeight="1" thickBot="1">
      <c r="A864" s="477"/>
      <c r="B864" s="484" t="s">
        <v>850</v>
      </c>
      <c r="C864" s="2049"/>
      <c r="D864" s="2050" t="s">
        <v>851</v>
      </c>
      <c r="E864" s="485">
        <f>SUM(E865)</f>
        <v>1538787</v>
      </c>
      <c r="F864" s="485">
        <f>SUM(F865)</f>
        <v>1534180</v>
      </c>
      <c r="G864" s="534">
        <f>SUM(G865)</f>
        <v>1514350.8500000003</v>
      </c>
      <c r="H864" s="699">
        <f t="shared" ref="H864:H894" si="92">G864/F864</f>
        <v>0.98707508245447095</v>
      </c>
    </row>
    <row r="865" spans="1:8" s="444" customFormat="1" ht="15" customHeight="1">
      <c r="A865" s="477"/>
      <c r="B865" s="494"/>
      <c r="C865" s="5094" t="s">
        <v>567</v>
      </c>
      <c r="D865" s="5094"/>
      <c r="E865" s="486">
        <f>SUM(E866,E880)</f>
        <v>1538787</v>
      </c>
      <c r="F865" s="486">
        <f>SUM(F866,F880)</f>
        <v>1534180</v>
      </c>
      <c r="G865" s="605">
        <f>SUM(G866,G880)</f>
        <v>1514350.8500000003</v>
      </c>
      <c r="H865" s="1122">
        <f t="shared" si="92"/>
        <v>0.98707508245447095</v>
      </c>
    </row>
    <row r="866" spans="1:8" s="444" customFormat="1" ht="15" customHeight="1">
      <c r="A866" s="477"/>
      <c r="B866" s="494"/>
      <c r="C866" s="5080" t="s">
        <v>568</v>
      </c>
      <c r="D866" s="5080"/>
      <c r="E866" s="3100">
        <f>SUM(E867,E874)</f>
        <v>1533450</v>
      </c>
      <c r="F866" s="3100">
        <f>SUM(F867,F874)</f>
        <v>1516846</v>
      </c>
      <c r="G866" s="3118">
        <f>SUM(G867,G874)</f>
        <v>1497017.2300000002</v>
      </c>
      <c r="H866" s="1114">
        <f t="shared" si="92"/>
        <v>0.98692763141413187</v>
      </c>
    </row>
    <row r="867" spans="1:8" s="444" customFormat="1" ht="15" customHeight="1">
      <c r="A867" s="477"/>
      <c r="B867" s="494"/>
      <c r="C867" s="5091" t="s">
        <v>569</v>
      </c>
      <c r="D867" s="5091"/>
      <c r="E867" s="3104">
        <f>SUM(E868:E872)</f>
        <v>1477043</v>
      </c>
      <c r="F867" s="3104">
        <f>SUM(F868:F872)</f>
        <v>1465039</v>
      </c>
      <c r="G867" s="3119">
        <f>SUM(G868:G872)</f>
        <v>1446280.9700000002</v>
      </c>
      <c r="H867" s="3120">
        <f t="shared" si="92"/>
        <v>0.9871962248103977</v>
      </c>
    </row>
    <row r="868" spans="1:8" s="444" customFormat="1" ht="15" customHeight="1">
      <c r="A868" s="477"/>
      <c r="B868" s="494"/>
      <c r="C868" s="3121" t="s">
        <v>315</v>
      </c>
      <c r="D868" s="3122" t="s">
        <v>573</v>
      </c>
      <c r="E868" s="3100">
        <v>225661</v>
      </c>
      <c r="F868" s="3100">
        <v>214334</v>
      </c>
      <c r="G868" s="3118">
        <v>206020.19</v>
      </c>
      <c r="H868" s="1114">
        <f t="shared" si="92"/>
        <v>0.96121096046357557</v>
      </c>
    </row>
    <row r="869" spans="1:8" s="444" customFormat="1" ht="15" customHeight="1">
      <c r="A869" s="477"/>
      <c r="B869" s="494"/>
      <c r="C869" s="3121" t="s">
        <v>314</v>
      </c>
      <c r="D869" s="3122" t="s">
        <v>574</v>
      </c>
      <c r="E869" s="3100">
        <v>37802</v>
      </c>
      <c r="F869" s="3100">
        <v>28078</v>
      </c>
      <c r="G869" s="3118">
        <v>26103.33</v>
      </c>
      <c r="H869" s="1114">
        <f t="shared" si="92"/>
        <v>0.92967198518412997</v>
      </c>
    </row>
    <row r="870" spans="1:8" s="444" customFormat="1" ht="15" customHeight="1">
      <c r="A870" s="477"/>
      <c r="B870" s="494"/>
      <c r="C870" s="3121" t="s">
        <v>335</v>
      </c>
      <c r="D870" s="3122" t="s">
        <v>576</v>
      </c>
      <c r="E870" s="3100">
        <v>5550</v>
      </c>
      <c r="F870" s="3100">
        <v>5550</v>
      </c>
      <c r="G870" s="3118">
        <v>5550</v>
      </c>
      <c r="H870" s="1114">
        <f t="shared" si="92"/>
        <v>1</v>
      </c>
    </row>
    <row r="871" spans="1:8" s="444" customFormat="1" ht="15" customHeight="1">
      <c r="A871" s="477"/>
      <c r="B871" s="494"/>
      <c r="C871" s="3121" t="s">
        <v>843</v>
      </c>
      <c r="D871" s="3122" t="s">
        <v>844</v>
      </c>
      <c r="E871" s="3100">
        <v>1123596</v>
      </c>
      <c r="F871" s="3100">
        <v>1134515</v>
      </c>
      <c r="G871" s="3118">
        <v>1126045.82</v>
      </c>
      <c r="H871" s="1114">
        <f t="shared" si="92"/>
        <v>0.9925349775013993</v>
      </c>
    </row>
    <row r="872" spans="1:8" s="444" customFormat="1" ht="15" customHeight="1">
      <c r="A872" s="477"/>
      <c r="B872" s="494"/>
      <c r="C872" s="3121" t="s">
        <v>845</v>
      </c>
      <c r="D872" s="3122" t="s">
        <v>846</v>
      </c>
      <c r="E872" s="3100">
        <v>84434</v>
      </c>
      <c r="F872" s="3100">
        <v>82562</v>
      </c>
      <c r="G872" s="3118">
        <v>82561.63</v>
      </c>
      <c r="H872" s="1114">
        <f t="shared" si="92"/>
        <v>0.99999551851941582</v>
      </c>
    </row>
    <row r="873" spans="1:8" ht="15" customHeight="1">
      <c r="A873" s="517"/>
      <c r="B873" s="494"/>
      <c r="C873" s="3125"/>
      <c r="D873" s="2663"/>
      <c r="E873" s="3100"/>
      <c r="F873" s="3126"/>
      <c r="G873" s="3127"/>
      <c r="H873" s="656"/>
    </row>
    <row r="874" spans="1:8" s="444" customFormat="1" ht="15" customHeight="1">
      <c r="A874" s="479"/>
      <c r="B874" s="494"/>
      <c r="C874" s="5092" t="s">
        <v>577</v>
      </c>
      <c r="D874" s="5092"/>
      <c r="E874" s="556">
        <f>SUM(E875:E878)</f>
        <v>56407</v>
      </c>
      <c r="F874" s="556">
        <f>SUM(F875:F878)</f>
        <v>51807</v>
      </c>
      <c r="G874" s="1079">
        <f>SUM(G875:G878)</f>
        <v>50736.26</v>
      </c>
      <c r="H874" s="3120">
        <f t="shared" si="92"/>
        <v>0.97933213658385931</v>
      </c>
    </row>
    <row r="875" spans="1:8" s="444" customFormat="1" ht="15" customHeight="1">
      <c r="A875" s="477"/>
      <c r="B875" s="494"/>
      <c r="C875" s="3121" t="s">
        <v>313</v>
      </c>
      <c r="D875" s="3122" t="s">
        <v>579</v>
      </c>
      <c r="E875" s="3100">
        <v>4820</v>
      </c>
      <c r="F875" s="3100">
        <v>4820</v>
      </c>
      <c r="G875" s="3118">
        <v>4807</v>
      </c>
      <c r="H875" s="1114">
        <f t="shared" si="92"/>
        <v>0.99730290456431536</v>
      </c>
    </row>
    <row r="876" spans="1:8" s="444" customFormat="1" ht="15" customHeight="1">
      <c r="A876" s="477"/>
      <c r="B876" s="494"/>
      <c r="C876" s="3121" t="s">
        <v>332</v>
      </c>
      <c r="D876" s="3122" t="s">
        <v>847</v>
      </c>
      <c r="E876" s="3100">
        <v>4634</v>
      </c>
      <c r="F876" s="3100">
        <v>2134</v>
      </c>
      <c r="G876" s="3118">
        <v>2133.2600000000002</v>
      </c>
      <c r="H876" s="1114">
        <f t="shared" si="92"/>
        <v>0.99965323336457368</v>
      </c>
    </row>
    <row r="877" spans="1:8" s="444" customFormat="1" ht="15" customHeight="1">
      <c r="A877" s="477"/>
      <c r="B877" s="494"/>
      <c r="C877" s="3121" t="s">
        <v>329</v>
      </c>
      <c r="D877" s="3122" t="s">
        <v>583</v>
      </c>
      <c r="E877" s="3100">
        <v>1605</v>
      </c>
      <c r="F877" s="3100">
        <v>1605</v>
      </c>
      <c r="G877" s="3118">
        <v>763</v>
      </c>
      <c r="H877" s="1114">
        <f t="shared" si="92"/>
        <v>0.47538940809968849</v>
      </c>
    </row>
    <row r="878" spans="1:8" s="444" customFormat="1" ht="15" customHeight="1">
      <c r="A878" s="477"/>
      <c r="B878" s="494"/>
      <c r="C878" s="3123" t="s">
        <v>324</v>
      </c>
      <c r="D878" s="3124" t="s">
        <v>593</v>
      </c>
      <c r="E878" s="3100">
        <v>45348</v>
      </c>
      <c r="F878" s="3100">
        <v>43248</v>
      </c>
      <c r="G878" s="3118">
        <v>43033</v>
      </c>
      <c r="H878" s="1114">
        <f t="shared" si="92"/>
        <v>0.99502867184609689</v>
      </c>
    </row>
    <row r="879" spans="1:8" s="444" customFormat="1" ht="15" customHeight="1">
      <c r="A879" s="479"/>
      <c r="B879" s="523"/>
      <c r="C879" s="3125"/>
      <c r="D879" s="3137"/>
      <c r="E879" s="481"/>
      <c r="F879" s="481"/>
      <c r="G879" s="604"/>
      <c r="H879" s="1114"/>
    </row>
    <row r="880" spans="1:8" s="444" customFormat="1" ht="15" customHeight="1">
      <c r="A880" s="477"/>
      <c r="B880" s="523"/>
      <c r="C880" s="5105" t="s">
        <v>773</v>
      </c>
      <c r="D880" s="5106"/>
      <c r="E880" s="481">
        <f>SUM(E881:E882)</f>
        <v>5337</v>
      </c>
      <c r="F880" s="481">
        <f t="shared" ref="F880:G880" si="93">SUM(F881:F882)</f>
        <v>17334</v>
      </c>
      <c r="G880" s="604">
        <f t="shared" si="93"/>
        <v>17333.62</v>
      </c>
      <c r="H880" s="1114">
        <f t="shared" si="92"/>
        <v>0.9999780777662397</v>
      </c>
    </row>
    <row r="881" spans="1:8" s="444" customFormat="1" ht="15" customHeight="1">
      <c r="A881" s="479"/>
      <c r="B881" s="523"/>
      <c r="C881" s="3123" t="s">
        <v>321</v>
      </c>
      <c r="D881" s="3124" t="s">
        <v>602</v>
      </c>
      <c r="E881" s="3100">
        <v>5337</v>
      </c>
      <c r="F881" s="3100">
        <v>6084</v>
      </c>
      <c r="G881" s="3118">
        <v>6083.62</v>
      </c>
      <c r="H881" s="3138">
        <f t="shared" si="92"/>
        <v>0.99993754109138722</v>
      </c>
    </row>
    <row r="882" spans="1:8" s="444" customFormat="1" ht="15" customHeight="1" thickBot="1">
      <c r="A882" s="477"/>
      <c r="B882" s="479"/>
      <c r="C882" s="531" t="s">
        <v>848</v>
      </c>
      <c r="D882" s="3136" t="s">
        <v>849</v>
      </c>
      <c r="E882" s="533">
        <v>0</v>
      </c>
      <c r="F882" s="533">
        <v>11250</v>
      </c>
      <c r="G882" s="677">
        <v>11250</v>
      </c>
      <c r="H882" s="1114">
        <f>G882/F882</f>
        <v>1</v>
      </c>
    </row>
    <row r="883" spans="1:8" s="444" customFormat="1" ht="15" customHeight="1" thickBot="1">
      <c r="A883" s="477"/>
      <c r="B883" s="484" t="s">
        <v>852</v>
      </c>
      <c r="C883" s="2049"/>
      <c r="D883" s="2050" t="s">
        <v>199</v>
      </c>
      <c r="E883" s="485">
        <f>SUM(E884,E920)</f>
        <v>17743865</v>
      </c>
      <c r="F883" s="485">
        <f>SUM(F884,F920)</f>
        <v>18643119</v>
      </c>
      <c r="G883" s="534">
        <f>SUM(G884,G920)</f>
        <v>18485003.48</v>
      </c>
      <c r="H883" s="699">
        <f t="shared" si="92"/>
        <v>0.99151882686582649</v>
      </c>
    </row>
    <row r="884" spans="1:8" ht="15" customHeight="1">
      <c r="A884" s="517"/>
      <c r="B884" s="479"/>
      <c r="C884" s="5094" t="s">
        <v>567</v>
      </c>
      <c r="D884" s="5094"/>
      <c r="E884" s="486">
        <f>SUM(E885,E915)</f>
        <v>17715565</v>
      </c>
      <c r="F884" s="486">
        <f t="shared" ref="F884:G884" si="94">SUM(F885,F915)</f>
        <v>18512792</v>
      </c>
      <c r="G884" s="605">
        <f t="shared" si="94"/>
        <v>18354776.48</v>
      </c>
      <c r="H884" s="1122">
        <f t="shared" si="92"/>
        <v>0.99146452247721473</v>
      </c>
    </row>
    <row r="885" spans="1:8" s="444" customFormat="1" ht="15" customHeight="1">
      <c r="A885" s="477"/>
      <c r="B885" s="479"/>
      <c r="C885" s="5080" t="s">
        <v>568</v>
      </c>
      <c r="D885" s="5080"/>
      <c r="E885" s="3100">
        <f>SUM(E886,E896)</f>
        <v>17668735</v>
      </c>
      <c r="F885" s="3100">
        <f>SUM(F886,F896)</f>
        <v>17811562</v>
      </c>
      <c r="G885" s="3118">
        <f>SUM(G886,G896)</f>
        <v>17655141.199999999</v>
      </c>
      <c r="H885" s="1114">
        <f t="shared" si="92"/>
        <v>0.99121801894746786</v>
      </c>
    </row>
    <row r="886" spans="1:8" s="444" customFormat="1" ht="15" customHeight="1">
      <c r="A886" s="477"/>
      <c r="B886" s="479"/>
      <c r="C886" s="5091" t="s">
        <v>569</v>
      </c>
      <c r="D886" s="5091"/>
      <c r="E886" s="3104">
        <f>SUM(E887:E894)</f>
        <v>15125838</v>
      </c>
      <c r="F886" s="3104">
        <f>SUM(F887:F894)</f>
        <v>15057135</v>
      </c>
      <c r="G886" s="3119">
        <f>SUM(G887:G894)</f>
        <v>14977450.949999999</v>
      </c>
      <c r="H886" s="3120">
        <f t="shared" si="92"/>
        <v>0.99470788765591855</v>
      </c>
    </row>
    <row r="887" spans="1:8" s="444" customFormat="1" ht="15" customHeight="1">
      <c r="A887" s="477"/>
      <c r="B887" s="479"/>
      <c r="C887" s="3121" t="s">
        <v>337</v>
      </c>
      <c r="D887" s="3122" t="s">
        <v>571</v>
      </c>
      <c r="E887" s="3100">
        <v>3445280</v>
      </c>
      <c r="F887" s="3100">
        <v>3329582</v>
      </c>
      <c r="G887" s="3118">
        <v>3317166.63</v>
      </c>
      <c r="H887" s="1114">
        <f t="shared" si="92"/>
        <v>0.99627119260015218</v>
      </c>
    </row>
    <row r="888" spans="1:8" s="444" customFormat="1" ht="15" customHeight="1">
      <c r="A888" s="477"/>
      <c r="B888" s="479"/>
      <c r="C888" s="3121" t="s">
        <v>336</v>
      </c>
      <c r="D888" s="3122" t="s">
        <v>572</v>
      </c>
      <c r="E888" s="3100">
        <v>224262</v>
      </c>
      <c r="F888" s="3100">
        <v>214815</v>
      </c>
      <c r="G888" s="3118">
        <v>213902.53</v>
      </c>
      <c r="H888" s="1114">
        <f t="shared" si="92"/>
        <v>0.99575229848939784</v>
      </c>
    </row>
    <row r="889" spans="1:8" s="444" customFormat="1" ht="15" customHeight="1">
      <c r="A889" s="477"/>
      <c r="B889" s="479"/>
      <c r="C889" s="3121" t="s">
        <v>315</v>
      </c>
      <c r="D889" s="3122" t="s">
        <v>573</v>
      </c>
      <c r="E889" s="3100">
        <v>2111100</v>
      </c>
      <c r="F889" s="3100">
        <v>2137587</v>
      </c>
      <c r="G889" s="3118">
        <v>2120649.89</v>
      </c>
      <c r="H889" s="1114">
        <f t="shared" si="92"/>
        <v>0.99207652834715032</v>
      </c>
    </row>
    <row r="890" spans="1:8" s="444" customFormat="1" ht="15" customHeight="1" thickBot="1">
      <c r="A890" s="501"/>
      <c r="B890" s="502"/>
      <c r="C890" s="3133" t="s">
        <v>314</v>
      </c>
      <c r="D890" s="3134" t="s">
        <v>574</v>
      </c>
      <c r="E890" s="503">
        <v>281443</v>
      </c>
      <c r="F890" s="503">
        <v>218095</v>
      </c>
      <c r="G890" s="702">
        <v>207139.22</v>
      </c>
      <c r="H890" s="2245">
        <f t="shared" si="92"/>
        <v>0.94976601939521765</v>
      </c>
    </row>
    <row r="891" spans="1:8" s="444" customFormat="1" ht="15" customHeight="1">
      <c r="A891" s="500"/>
      <c r="B891" s="2966"/>
      <c r="C891" s="3139" t="s">
        <v>319</v>
      </c>
      <c r="D891" s="3140" t="s">
        <v>575</v>
      </c>
      <c r="E891" s="2292">
        <v>39500</v>
      </c>
      <c r="F891" s="2292">
        <v>79070</v>
      </c>
      <c r="G891" s="2435">
        <v>75458</v>
      </c>
      <c r="H891" s="2063">
        <f t="shared" si="92"/>
        <v>0.95431895788541798</v>
      </c>
    </row>
    <row r="892" spans="1:8" s="444" customFormat="1" ht="15" customHeight="1">
      <c r="A892" s="477"/>
      <c r="B892" s="479"/>
      <c r="C892" s="3107" t="s">
        <v>335</v>
      </c>
      <c r="D892" s="3122" t="s">
        <v>576</v>
      </c>
      <c r="E892" s="3100">
        <v>16573</v>
      </c>
      <c r="F892" s="3100">
        <v>16029</v>
      </c>
      <c r="G892" s="3118">
        <v>13273.17</v>
      </c>
      <c r="H892" s="1114">
        <f t="shared" si="92"/>
        <v>0.82807224405764557</v>
      </c>
    </row>
    <row r="893" spans="1:8" s="444" customFormat="1" ht="15" customHeight="1">
      <c r="A893" s="477"/>
      <c r="B893" s="479"/>
      <c r="C893" s="3121" t="s">
        <v>843</v>
      </c>
      <c r="D893" s="3122" t="s">
        <v>844</v>
      </c>
      <c r="E893" s="3100">
        <v>8382587</v>
      </c>
      <c r="F893" s="3100">
        <v>8460244</v>
      </c>
      <c r="G893" s="3118">
        <v>8428910.5600000005</v>
      </c>
      <c r="H893" s="1114">
        <f t="shared" si="92"/>
        <v>0.99629639050599494</v>
      </c>
    </row>
    <row r="894" spans="1:8" s="444" customFormat="1" ht="15" customHeight="1">
      <c r="A894" s="477"/>
      <c r="B894" s="479"/>
      <c r="C894" s="3121" t="s">
        <v>845</v>
      </c>
      <c r="D894" s="3122" t="s">
        <v>846</v>
      </c>
      <c r="E894" s="3100">
        <v>625093</v>
      </c>
      <c r="F894" s="3100">
        <v>601713</v>
      </c>
      <c r="G894" s="3118">
        <v>600950.94999999995</v>
      </c>
      <c r="H894" s="1114">
        <f t="shared" si="92"/>
        <v>0.99873353243157448</v>
      </c>
    </row>
    <row r="895" spans="1:8" s="444" customFormat="1" ht="15" customHeight="1">
      <c r="A895" s="479"/>
      <c r="B895" s="479"/>
      <c r="C895" s="3141"/>
      <c r="D895" s="3142"/>
      <c r="E895" s="3100"/>
      <c r="F895" s="3100"/>
      <c r="G895" s="3118"/>
      <c r="H895" s="1114"/>
    </row>
    <row r="896" spans="1:8" s="444" customFormat="1" ht="15" customHeight="1">
      <c r="A896" s="477"/>
      <c r="B896" s="479"/>
      <c r="C896" s="5092" t="s">
        <v>577</v>
      </c>
      <c r="D896" s="5092"/>
      <c r="E896" s="556">
        <f>SUM(E897:E913)</f>
        <v>2542897</v>
      </c>
      <c r="F896" s="556">
        <f>SUM(F897:F913)</f>
        <v>2754427</v>
      </c>
      <c r="G896" s="1079">
        <f>SUM(G897:G913)</f>
        <v>2677690.25</v>
      </c>
      <c r="H896" s="3120">
        <f t="shared" ref="H896:H913" si="95">G896/F896</f>
        <v>0.9721405758802103</v>
      </c>
    </row>
    <row r="897" spans="1:8" s="444" customFormat="1" ht="15" customHeight="1">
      <c r="A897" s="477"/>
      <c r="B897" s="479"/>
      <c r="C897" s="3121" t="s">
        <v>363</v>
      </c>
      <c r="D897" s="3122" t="s">
        <v>578</v>
      </c>
      <c r="E897" s="3100">
        <v>19600</v>
      </c>
      <c r="F897" s="3100">
        <v>5700</v>
      </c>
      <c r="G897" s="3118">
        <v>5658</v>
      </c>
      <c r="H897" s="1114">
        <f t="shared" si="95"/>
        <v>0.99263157894736842</v>
      </c>
    </row>
    <row r="898" spans="1:8" s="444" customFormat="1" ht="15" customHeight="1">
      <c r="A898" s="477"/>
      <c r="B898" s="479"/>
      <c r="C898" s="3121" t="s">
        <v>334</v>
      </c>
      <c r="D898" s="3143" t="s">
        <v>624</v>
      </c>
      <c r="E898" s="3100">
        <v>0</v>
      </c>
      <c r="F898" s="3100">
        <v>1500</v>
      </c>
      <c r="G898" s="3118">
        <v>1500</v>
      </c>
      <c r="H898" s="1114">
        <f t="shared" si="95"/>
        <v>1</v>
      </c>
    </row>
    <row r="899" spans="1:8" s="444" customFormat="1" ht="15" customHeight="1">
      <c r="A899" s="477"/>
      <c r="B899" s="479"/>
      <c r="C899" s="3121" t="s">
        <v>313</v>
      </c>
      <c r="D899" s="3122" t="s">
        <v>579</v>
      </c>
      <c r="E899" s="3100">
        <v>169949</v>
      </c>
      <c r="F899" s="3100">
        <v>208832</v>
      </c>
      <c r="G899" s="3118">
        <v>208576.56</v>
      </c>
      <c r="H899" s="1114">
        <f t="shared" si="95"/>
        <v>0.99877681581366839</v>
      </c>
    </row>
    <row r="900" spans="1:8" s="444" customFormat="1" ht="15" customHeight="1">
      <c r="A900" s="477"/>
      <c r="B900" s="479"/>
      <c r="C900" s="3121" t="s">
        <v>332</v>
      </c>
      <c r="D900" s="3122" t="s">
        <v>847</v>
      </c>
      <c r="E900" s="3100">
        <v>233604</v>
      </c>
      <c r="F900" s="3100">
        <v>236454</v>
      </c>
      <c r="G900" s="3118">
        <v>236352.81</v>
      </c>
      <c r="H900" s="1114">
        <f t="shared" si="95"/>
        <v>0.9995720520693242</v>
      </c>
    </row>
    <row r="901" spans="1:8" s="444" customFormat="1" ht="15" customHeight="1">
      <c r="A901" s="477"/>
      <c r="B901" s="479"/>
      <c r="C901" s="3121" t="s">
        <v>331</v>
      </c>
      <c r="D901" s="3122" t="s">
        <v>581</v>
      </c>
      <c r="E901" s="3100">
        <v>786790</v>
      </c>
      <c r="F901" s="3100">
        <v>889537</v>
      </c>
      <c r="G901" s="3118">
        <v>840109.79</v>
      </c>
      <c r="H901" s="1114">
        <f t="shared" si="95"/>
        <v>0.94443490265160424</v>
      </c>
    </row>
    <row r="902" spans="1:8" s="444" customFormat="1" ht="15" customHeight="1">
      <c r="A902" s="477"/>
      <c r="B902" s="479"/>
      <c r="C902" s="3121" t="s">
        <v>330</v>
      </c>
      <c r="D902" s="3122" t="s">
        <v>582</v>
      </c>
      <c r="E902" s="3100">
        <v>226200</v>
      </c>
      <c r="F902" s="3100">
        <v>141536</v>
      </c>
      <c r="G902" s="3118">
        <v>133543.17000000001</v>
      </c>
      <c r="H902" s="1114">
        <f t="shared" si="95"/>
        <v>0.94352793635541499</v>
      </c>
    </row>
    <row r="903" spans="1:8" s="444" customFormat="1" ht="15" customHeight="1">
      <c r="A903" s="477"/>
      <c r="B903" s="479"/>
      <c r="C903" s="3121" t="s">
        <v>329</v>
      </c>
      <c r="D903" s="3122" t="s">
        <v>583</v>
      </c>
      <c r="E903" s="3100">
        <v>14550</v>
      </c>
      <c r="F903" s="3100">
        <v>14213</v>
      </c>
      <c r="G903" s="3118">
        <v>11138.9</v>
      </c>
      <c r="H903" s="1114">
        <f t="shared" si="95"/>
        <v>0.78371209456131707</v>
      </c>
    </row>
    <row r="904" spans="1:8" s="444" customFormat="1" ht="15" customHeight="1">
      <c r="A904" s="477"/>
      <c r="B904" s="479"/>
      <c r="C904" s="3123" t="s">
        <v>312</v>
      </c>
      <c r="D904" s="3124" t="s">
        <v>584</v>
      </c>
      <c r="E904" s="3100">
        <v>496491</v>
      </c>
      <c r="F904" s="3100">
        <v>555777</v>
      </c>
      <c r="G904" s="3118">
        <v>555357.54</v>
      </c>
      <c r="H904" s="1114">
        <f t="shared" si="95"/>
        <v>0.99924527283424835</v>
      </c>
    </row>
    <row r="905" spans="1:8" s="444" customFormat="1" ht="27" customHeight="1">
      <c r="A905" s="477"/>
      <c r="B905" s="479"/>
      <c r="C905" s="2046" t="s">
        <v>853</v>
      </c>
      <c r="D905" s="2047" t="s">
        <v>854</v>
      </c>
      <c r="E905" s="481">
        <v>13530</v>
      </c>
      <c r="F905" s="481">
        <v>73800</v>
      </c>
      <c r="G905" s="604">
        <v>73800</v>
      </c>
      <c r="H905" s="1114">
        <f t="shared" si="95"/>
        <v>1</v>
      </c>
    </row>
    <row r="906" spans="1:8" s="444" customFormat="1" ht="15" customHeight="1">
      <c r="A906" s="477"/>
      <c r="B906" s="479"/>
      <c r="C906" s="3121" t="s">
        <v>328</v>
      </c>
      <c r="D906" s="3122" t="s">
        <v>585</v>
      </c>
      <c r="E906" s="3100">
        <v>23250</v>
      </c>
      <c r="F906" s="3100">
        <v>23260</v>
      </c>
      <c r="G906" s="3118">
        <v>19303.18</v>
      </c>
      <c r="H906" s="1114">
        <f t="shared" si="95"/>
        <v>0.82988736027515053</v>
      </c>
    </row>
    <row r="907" spans="1:8" s="444" customFormat="1" ht="15" customHeight="1">
      <c r="A907" s="477"/>
      <c r="B907" s="479"/>
      <c r="C907" s="3121" t="s">
        <v>327</v>
      </c>
      <c r="D907" s="3122" t="s">
        <v>586</v>
      </c>
      <c r="E907" s="3100">
        <v>1080</v>
      </c>
      <c r="F907" s="3100">
        <v>80</v>
      </c>
      <c r="G907" s="3118">
        <v>80</v>
      </c>
      <c r="H907" s="1114">
        <f t="shared" si="95"/>
        <v>1</v>
      </c>
    </row>
    <row r="908" spans="1:8" s="444" customFormat="1" ht="29.25" customHeight="1">
      <c r="A908" s="477"/>
      <c r="B908" s="479"/>
      <c r="C908" s="3121" t="s">
        <v>587</v>
      </c>
      <c r="D908" s="3122" t="s">
        <v>588</v>
      </c>
      <c r="E908" s="3100">
        <v>2400</v>
      </c>
      <c r="F908" s="3100">
        <v>2400</v>
      </c>
      <c r="G908" s="3118">
        <v>2400</v>
      </c>
      <c r="H908" s="1114">
        <f t="shared" si="95"/>
        <v>1</v>
      </c>
    </row>
    <row r="909" spans="1:8" s="444" customFormat="1" ht="15" customHeight="1">
      <c r="A909" s="479"/>
      <c r="B909" s="479"/>
      <c r="C909" s="3123" t="s">
        <v>326</v>
      </c>
      <c r="D909" s="3124" t="s">
        <v>589</v>
      </c>
      <c r="E909" s="3100">
        <v>16360</v>
      </c>
      <c r="F909" s="3100">
        <v>17445</v>
      </c>
      <c r="G909" s="3118">
        <v>16214.93</v>
      </c>
      <c r="H909" s="1114">
        <f t="shared" si="95"/>
        <v>0.92948867870449992</v>
      </c>
    </row>
    <row r="910" spans="1:8" s="444" customFormat="1" ht="15" customHeight="1">
      <c r="A910" s="477"/>
      <c r="B910" s="479"/>
      <c r="C910" s="2046" t="s">
        <v>325</v>
      </c>
      <c r="D910" s="2047" t="s">
        <v>592</v>
      </c>
      <c r="E910" s="481">
        <v>25650</v>
      </c>
      <c r="F910" s="481">
        <v>23421</v>
      </c>
      <c r="G910" s="604">
        <v>21793.91</v>
      </c>
      <c r="H910" s="1114">
        <f t="shared" si="95"/>
        <v>0.93052858545749539</v>
      </c>
    </row>
    <row r="911" spans="1:8" s="444" customFormat="1" ht="15" customHeight="1">
      <c r="A911" s="477"/>
      <c r="B911" s="479"/>
      <c r="C911" s="3121" t="s">
        <v>324</v>
      </c>
      <c r="D911" s="3122" t="s">
        <v>593</v>
      </c>
      <c r="E911" s="3100">
        <v>486849</v>
      </c>
      <c r="F911" s="3100">
        <v>521301</v>
      </c>
      <c r="G911" s="3118">
        <v>515257.21</v>
      </c>
      <c r="H911" s="1114">
        <f t="shared" si="95"/>
        <v>0.98840633338512685</v>
      </c>
    </row>
    <row r="912" spans="1:8" s="444" customFormat="1" ht="15" customHeight="1">
      <c r="A912" s="477"/>
      <c r="B912" s="479"/>
      <c r="C912" s="3121" t="s">
        <v>362</v>
      </c>
      <c r="D912" s="3122" t="s">
        <v>855</v>
      </c>
      <c r="E912" s="3100">
        <v>15544</v>
      </c>
      <c r="F912" s="3100">
        <v>15244</v>
      </c>
      <c r="G912" s="3118">
        <v>13590.47</v>
      </c>
      <c r="H912" s="1114">
        <f t="shared" si="95"/>
        <v>0.89152912621359215</v>
      </c>
    </row>
    <row r="913" spans="1:8" s="444" customFormat="1" ht="15" customHeight="1">
      <c r="A913" s="477"/>
      <c r="B913" s="479"/>
      <c r="C913" s="3123" t="s">
        <v>322</v>
      </c>
      <c r="D913" s="3124" t="s">
        <v>600</v>
      </c>
      <c r="E913" s="3100">
        <v>11050</v>
      </c>
      <c r="F913" s="3100">
        <v>23927</v>
      </c>
      <c r="G913" s="3118">
        <v>23013.78</v>
      </c>
      <c r="H913" s="1114">
        <f t="shared" si="95"/>
        <v>0.961833075604965</v>
      </c>
    </row>
    <row r="914" spans="1:8" s="444" customFormat="1" ht="15" customHeight="1">
      <c r="A914" s="477"/>
      <c r="B914" s="479"/>
      <c r="C914" s="526"/>
      <c r="D914" s="526"/>
      <c r="E914" s="3100"/>
      <c r="F914" s="3100"/>
      <c r="G914" s="3118"/>
      <c r="H914" s="1114"/>
    </row>
    <row r="915" spans="1:8" s="444" customFormat="1" ht="15" customHeight="1">
      <c r="A915" s="477"/>
      <c r="B915" s="479"/>
      <c r="C915" s="5093" t="s">
        <v>773</v>
      </c>
      <c r="D915" s="5093"/>
      <c r="E915" s="3100">
        <f>SUM(E916:E918)</f>
        <v>46830</v>
      </c>
      <c r="F915" s="3100">
        <f>SUM(F916:F918)</f>
        <v>701230</v>
      </c>
      <c r="G915" s="3118">
        <f>SUM(G916:G918)</f>
        <v>699635.28</v>
      </c>
      <c r="H915" s="1114">
        <f>G915/F915</f>
        <v>0.99772582462244919</v>
      </c>
    </row>
    <row r="916" spans="1:8" s="444" customFormat="1" ht="15" customHeight="1">
      <c r="A916" s="477"/>
      <c r="B916" s="479"/>
      <c r="C916" s="3123" t="s">
        <v>321</v>
      </c>
      <c r="D916" s="3124" t="s">
        <v>602</v>
      </c>
      <c r="E916" s="3100">
        <v>46830</v>
      </c>
      <c r="F916" s="3100">
        <v>130230</v>
      </c>
      <c r="G916" s="3118">
        <v>128635.28</v>
      </c>
      <c r="H916" s="1114">
        <f>G916/F916</f>
        <v>0.9877545880365507</v>
      </c>
    </row>
    <row r="917" spans="1:8" s="444" customFormat="1" ht="15" customHeight="1">
      <c r="A917" s="477"/>
      <c r="B917" s="479"/>
      <c r="C917" s="531" t="s">
        <v>848</v>
      </c>
      <c r="D917" s="3136" t="s">
        <v>849</v>
      </c>
      <c r="E917" s="533">
        <v>0</v>
      </c>
      <c r="F917" s="533">
        <v>177750</v>
      </c>
      <c r="G917" s="677">
        <v>177750</v>
      </c>
      <c r="H917" s="1114">
        <f>G917/F917</f>
        <v>1</v>
      </c>
    </row>
    <row r="918" spans="1:8" s="444" customFormat="1" ht="15" customHeight="1">
      <c r="A918" s="477"/>
      <c r="B918" s="479"/>
      <c r="C918" s="3144" t="s">
        <v>856</v>
      </c>
      <c r="D918" s="3145" t="s">
        <v>857</v>
      </c>
      <c r="E918" s="3100">
        <v>0</v>
      </c>
      <c r="F918" s="3100">
        <v>393250</v>
      </c>
      <c r="G918" s="3118">
        <v>393250</v>
      </c>
      <c r="H918" s="1114">
        <f>G918/F918</f>
        <v>1</v>
      </c>
    </row>
    <row r="919" spans="1:8" s="444" customFormat="1" ht="15" customHeight="1" thickBot="1">
      <c r="A919" s="501"/>
      <c r="B919" s="502"/>
      <c r="C919" s="3146"/>
      <c r="D919" s="3147"/>
      <c r="E919" s="503"/>
      <c r="F919" s="503"/>
      <c r="G919" s="702"/>
      <c r="H919" s="2245"/>
    </row>
    <row r="920" spans="1:8" s="444" customFormat="1" ht="15" customHeight="1">
      <c r="A920" s="500"/>
      <c r="B920" s="2966"/>
      <c r="C920" s="5102" t="s">
        <v>603</v>
      </c>
      <c r="D920" s="5102"/>
      <c r="E920" s="2565">
        <f t="shared" ref="E920:G920" si="96">SUM(E921)</f>
        <v>28300</v>
      </c>
      <c r="F920" s="2565">
        <f t="shared" si="96"/>
        <v>130327</v>
      </c>
      <c r="G920" s="2566">
        <f t="shared" si="96"/>
        <v>130227</v>
      </c>
      <c r="H920" s="1978">
        <f>G920/F920</f>
        <v>0.99923269928717762</v>
      </c>
    </row>
    <row r="921" spans="1:8" s="444" customFormat="1" ht="15" customHeight="1">
      <c r="A921" s="477"/>
      <c r="B921" s="479"/>
      <c r="C921" s="5103" t="s">
        <v>604</v>
      </c>
      <c r="D921" s="5104"/>
      <c r="E921" s="3148">
        <f>SUM(E922:E923)</f>
        <v>28300</v>
      </c>
      <c r="F921" s="3148">
        <f t="shared" ref="F921:G921" si="97">SUM(F922:F923)</f>
        <v>130327</v>
      </c>
      <c r="G921" s="3149">
        <f t="shared" si="97"/>
        <v>130227</v>
      </c>
      <c r="H921" s="1114">
        <f>G921/F921</f>
        <v>0.99923269928717762</v>
      </c>
    </row>
    <row r="922" spans="1:8" s="444" customFormat="1" ht="15" customHeight="1">
      <c r="A922" s="477"/>
      <c r="B922" s="479"/>
      <c r="C922" s="3150" t="s">
        <v>339</v>
      </c>
      <c r="D922" s="3151" t="s">
        <v>671</v>
      </c>
      <c r="E922" s="3148">
        <v>0</v>
      </c>
      <c r="F922" s="3148">
        <v>102027</v>
      </c>
      <c r="G922" s="3149">
        <v>102027</v>
      </c>
      <c r="H922" s="1114">
        <f>G922/F922</f>
        <v>1</v>
      </c>
    </row>
    <row r="923" spans="1:8" s="444" customFormat="1" ht="15" customHeight="1" thickBot="1">
      <c r="A923" s="477"/>
      <c r="B923" s="479"/>
      <c r="C923" s="3150" t="s">
        <v>354</v>
      </c>
      <c r="D923" s="2047" t="s">
        <v>605</v>
      </c>
      <c r="E923" s="3148">
        <v>28300</v>
      </c>
      <c r="F923" s="3148">
        <v>28300</v>
      </c>
      <c r="G923" s="3149">
        <v>28200</v>
      </c>
      <c r="H923" s="1114">
        <f>G923/F923</f>
        <v>0.99646643109540634</v>
      </c>
    </row>
    <row r="924" spans="1:8" s="444" customFormat="1" ht="15" customHeight="1" thickBot="1">
      <c r="A924" s="477"/>
      <c r="B924" s="484" t="s">
        <v>858</v>
      </c>
      <c r="C924" s="3152"/>
      <c r="D924" s="2050" t="s">
        <v>201</v>
      </c>
      <c r="E924" s="485">
        <f>SUM(E925,E989)</f>
        <v>18575044</v>
      </c>
      <c r="F924" s="485">
        <f>SUM(F925,F989)</f>
        <v>21891370</v>
      </c>
      <c r="G924" s="534">
        <f>SUM(G925,G989)</f>
        <v>20847290.020000007</v>
      </c>
      <c r="H924" s="699">
        <f t="shared" ref="H924:H935" si="98">G924/F924</f>
        <v>0.95230632070994214</v>
      </c>
    </row>
    <row r="925" spans="1:8" s="444" customFormat="1" ht="15" customHeight="1">
      <c r="A925" s="477"/>
      <c r="B925" s="479"/>
      <c r="C925" s="5094" t="s">
        <v>567</v>
      </c>
      <c r="D925" s="5094"/>
      <c r="E925" s="486">
        <f>SUM(E926,E953,E957)</f>
        <v>18527044</v>
      </c>
      <c r="F925" s="486">
        <f>SUM(F926,F953,F957)</f>
        <v>21843370</v>
      </c>
      <c r="G925" s="605">
        <f>SUM(G926,G953,G957)</f>
        <v>20799290.660000008</v>
      </c>
      <c r="H925" s="1122">
        <f t="shared" si="98"/>
        <v>0.95220154490813491</v>
      </c>
    </row>
    <row r="926" spans="1:8" s="444" customFormat="1" ht="15" customHeight="1">
      <c r="A926" s="477"/>
      <c r="B926" s="479"/>
      <c r="C926" s="5115" t="s">
        <v>568</v>
      </c>
      <c r="D926" s="5115"/>
      <c r="E926" s="3148">
        <f>SUM(E927,E937)</f>
        <v>18355151</v>
      </c>
      <c r="F926" s="3148">
        <f>SUM(F927,F937)</f>
        <v>20498663</v>
      </c>
      <c r="G926" s="3149">
        <f>SUM(G927,G937)</f>
        <v>19957896.400000006</v>
      </c>
      <c r="H926" s="1114">
        <f t="shared" si="98"/>
        <v>0.97361942093491682</v>
      </c>
    </row>
    <row r="927" spans="1:8" s="444" customFormat="1" ht="15" customHeight="1">
      <c r="A927" s="477"/>
      <c r="B927" s="479"/>
      <c r="C927" s="5116" t="s">
        <v>569</v>
      </c>
      <c r="D927" s="5116"/>
      <c r="E927" s="3153">
        <f>SUM(E928:E935)</f>
        <v>16394932</v>
      </c>
      <c r="F927" s="3153">
        <f>SUM(F928:F935)</f>
        <v>18002348</v>
      </c>
      <c r="G927" s="3154">
        <f>SUM(G928:G935)</f>
        <v>17780273.230000004</v>
      </c>
      <c r="H927" s="3120">
        <f t="shared" si="98"/>
        <v>0.98766412192454034</v>
      </c>
    </row>
    <row r="928" spans="1:8" s="444" customFormat="1" ht="15" customHeight="1">
      <c r="A928" s="477"/>
      <c r="B928" s="479"/>
      <c r="C928" s="3155" t="s">
        <v>337</v>
      </c>
      <c r="D928" s="3156" t="s">
        <v>571</v>
      </c>
      <c r="E928" s="3148">
        <v>8558837</v>
      </c>
      <c r="F928" s="3148">
        <v>8830910</v>
      </c>
      <c r="G928" s="3149">
        <v>8814896.5099999998</v>
      </c>
      <c r="H928" s="1114">
        <f t="shared" si="98"/>
        <v>0.99818665460297973</v>
      </c>
    </row>
    <row r="929" spans="1:8" s="444" customFormat="1" ht="15" customHeight="1">
      <c r="A929" s="477"/>
      <c r="B929" s="479"/>
      <c r="C929" s="3155" t="s">
        <v>336</v>
      </c>
      <c r="D929" s="3156" t="s">
        <v>572</v>
      </c>
      <c r="E929" s="3148">
        <v>583292</v>
      </c>
      <c r="F929" s="3148">
        <v>539384</v>
      </c>
      <c r="G929" s="3149">
        <v>539383.07999999996</v>
      </c>
      <c r="H929" s="1114">
        <f t="shared" si="98"/>
        <v>0.9999982943505924</v>
      </c>
    </row>
    <row r="930" spans="1:8" s="444" customFormat="1" ht="15" customHeight="1">
      <c r="A930" s="477"/>
      <c r="B930" s="479"/>
      <c r="C930" s="3155" t="s">
        <v>315</v>
      </c>
      <c r="D930" s="3156" t="s">
        <v>573</v>
      </c>
      <c r="E930" s="3148">
        <v>2348807</v>
      </c>
      <c r="F930" s="3148">
        <v>2570771</v>
      </c>
      <c r="G930" s="3149">
        <v>2486199.2200000002</v>
      </c>
      <c r="H930" s="1114">
        <f t="shared" si="98"/>
        <v>0.96710256183845245</v>
      </c>
    </row>
    <row r="931" spans="1:8" s="444" customFormat="1" ht="15" customHeight="1">
      <c r="A931" s="477"/>
      <c r="B931" s="479"/>
      <c r="C931" s="3157" t="s">
        <v>314</v>
      </c>
      <c r="D931" s="3158" t="s">
        <v>574</v>
      </c>
      <c r="E931" s="3148">
        <v>334376</v>
      </c>
      <c r="F931" s="3148">
        <v>247299</v>
      </c>
      <c r="G931" s="3149">
        <v>241098.47</v>
      </c>
      <c r="H931" s="1114">
        <f t="shared" si="98"/>
        <v>0.97492699121306592</v>
      </c>
    </row>
    <row r="932" spans="1:8" s="444" customFormat="1" ht="15" customHeight="1">
      <c r="A932" s="477"/>
      <c r="B932" s="479"/>
      <c r="C932" s="2046" t="s">
        <v>319</v>
      </c>
      <c r="D932" s="3159" t="s">
        <v>575</v>
      </c>
      <c r="E932" s="3148">
        <v>0</v>
      </c>
      <c r="F932" s="3148">
        <v>38800</v>
      </c>
      <c r="G932" s="3149">
        <v>28000</v>
      </c>
      <c r="H932" s="1114">
        <f t="shared" si="98"/>
        <v>0.72164948453608246</v>
      </c>
    </row>
    <row r="933" spans="1:8" s="444" customFormat="1" ht="15" customHeight="1">
      <c r="A933" s="477"/>
      <c r="B933" s="479"/>
      <c r="C933" s="2046" t="s">
        <v>335</v>
      </c>
      <c r="D933" s="3159" t="s">
        <v>576</v>
      </c>
      <c r="E933" s="3148">
        <v>47953</v>
      </c>
      <c r="F933" s="3148">
        <v>79147</v>
      </c>
      <c r="G933" s="3149">
        <v>76218.240000000005</v>
      </c>
      <c r="H933" s="1114">
        <f t="shared" si="98"/>
        <v>0.96299594425562562</v>
      </c>
    </row>
    <row r="934" spans="1:8" s="444" customFormat="1" ht="15" customHeight="1">
      <c r="A934" s="477"/>
      <c r="B934" s="479"/>
      <c r="C934" s="3157" t="s">
        <v>843</v>
      </c>
      <c r="D934" s="3160" t="s">
        <v>844</v>
      </c>
      <c r="E934" s="3148">
        <v>4187785</v>
      </c>
      <c r="F934" s="3148">
        <v>5312996</v>
      </c>
      <c r="G934" s="3149">
        <v>5225122.18</v>
      </c>
      <c r="H934" s="1114">
        <f t="shared" si="98"/>
        <v>0.98346058984422347</v>
      </c>
    </row>
    <row r="935" spans="1:8" s="444" customFormat="1" ht="15" customHeight="1">
      <c r="A935" s="479"/>
      <c r="B935" s="479"/>
      <c r="C935" s="3161" t="s">
        <v>845</v>
      </c>
      <c r="D935" s="2047" t="s">
        <v>846</v>
      </c>
      <c r="E935" s="481">
        <v>333882</v>
      </c>
      <c r="F935" s="481">
        <v>383041</v>
      </c>
      <c r="G935" s="604">
        <v>369355.53</v>
      </c>
      <c r="H935" s="1114">
        <f t="shared" si="98"/>
        <v>0.96427152706890396</v>
      </c>
    </row>
    <row r="936" spans="1:8" s="444" customFormat="1" ht="15" customHeight="1">
      <c r="A936" s="477"/>
      <c r="B936" s="479"/>
      <c r="C936" s="3125"/>
      <c r="D936" s="2663"/>
      <c r="E936" s="3148"/>
      <c r="F936" s="3148"/>
      <c r="G936" s="3149"/>
      <c r="H936" s="1114"/>
    </row>
    <row r="937" spans="1:8" s="444" customFormat="1" ht="15" customHeight="1">
      <c r="A937" s="479"/>
      <c r="B937" s="479"/>
      <c r="C937" s="5092" t="s">
        <v>577</v>
      </c>
      <c r="D937" s="5092"/>
      <c r="E937" s="556">
        <f>SUM(E938:E951)</f>
        <v>1960219</v>
      </c>
      <c r="F937" s="556">
        <f>SUM(F938:F951)</f>
        <v>2496315</v>
      </c>
      <c r="G937" s="1079">
        <f>SUM(G938:G951)</f>
        <v>2177623.17</v>
      </c>
      <c r="H937" s="3120">
        <f t="shared" ref="H937:H951" si="99">G937/F937</f>
        <v>0.87233508992254583</v>
      </c>
    </row>
    <row r="938" spans="1:8" s="444" customFormat="1" ht="15" customHeight="1">
      <c r="A938" s="477"/>
      <c r="B938" s="479"/>
      <c r="C938" s="3155" t="s">
        <v>363</v>
      </c>
      <c r="D938" s="3156" t="s">
        <v>578</v>
      </c>
      <c r="E938" s="3148">
        <v>38244</v>
      </c>
      <c r="F938" s="3148">
        <v>4706</v>
      </c>
      <c r="G938" s="3149">
        <v>4352</v>
      </c>
      <c r="H938" s="1114">
        <f t="shared" si="99"/>
        <v>0.92477688057798557</v>
      </c>
    </row>
    <row r="939" spans="1:8" s="444" customFormat="1" ht="15" customHeight="1">
      <c r="A939" s="477"/>
      <c r="B939" s="479"/>
      <c r="C939" s="3155" t="s">
        <v>313</v>
      </c>
      <c r="D939" s="3156" t="s">
        <v>579</v>
      </c>
      <c r="E939" s="3148">
        <v>253000</v>
      </c>
      <c r="F939" s="3148">
        <v>377962</v>
      </c>
      <c r="G939" s="3149">
        <v>359942.34</v>
      </c>
      <c r="H939" s="1114">
        <f t="shared" si="99"/>
        <v>0.95232414898852269</v>
      </c>
    </row>
    <row r="940" spans="1:8" s="444" customFormat="1" ht="15" customHeight="1">
      <c r="A940" s="477"/>
      <c r="B940" s="479"/>
      <c r="C940" s="3155" t="s">
        <v>333</v>
      </c>
      <c r="D940" s="3156" t="s">
        <v>580</v>
      </c>
      <c r="E940" s="3148">
        <v>0</v>
      </c>
      <c r="F940" s="3148">
        <v>5000</v>
      </c>
      <c r="G940" s="3149">
        <v>5000</v>
      </c>
      <c r="H940" s="1114">
        <f t="shared" si="99"/>
        <v>1</v>
      </c>
    </row>
    <row r="941" spans="1:8" s="444" customFormat="1" ht="15" customHeight="1">
      <c r="A941" s="477"/>
      <c r="B941" s="479"/>
      <c r="C941" s="3155" t="s">
        <v>331</v>
      </c>
      <c r="D941" s="3156" t="s">
        <v>581</v>
      </c>
      <c r="E941" s="3148">
        <v>282900</v>
      </c>
      <c r="F941" s="3148">
        <v>252497</v>
      </c>
      <c r="G941" s="3149">
        <v>234949.47</v>
      </c>
      <c r="H941" s="1114">
        <f t="shared" si="99"/>
        <v>0.93050400598818994</v>
      </c>
    </row>
    <row r="942" spans="1:8" s="444" customFormat="1" ht="15" customHeight="1">
      <c r="A942" s="477"/>
      <c r="B942" s="479"/>
      <c r="C942" s="3155" t="s">
        <v>330</v>
      </c>
      <c r="D942" s="3156" t="s">
        <v>582</v>
      </c>
      <c r="E942" s="3148">
        <v>884805</v>
      </c>
      <c r="F942" s="3148">
        <v>824535</v>
      </c>
      <c r="G942" s="3149">
        <v>657525.31000000006</v>
      </c>
      <c r="H942" s="1114">
        <f t="shared" si="99"/>
        <v>0.7974498474897973</v>
      </c>
    </row>
    <row r="943" spans="1:8" s="444" customFormat="1" ht="15" customHeight="1">
      <c r="A943" s="477"/>
      <c r="B943" s="479"/>
      <c r="C943" s="3155" t="s">
        <v>329</v>
      </c>
      <c r="D943" s="3156" t="s">
        <v>583</v>
      </c>
      <c r="E943" s="3148">
        <v>26250</v>
      </c>
      <c r="F943" s="3148">
        <v>28293</v>
      </c>
      <c r="G943" s="3149">
        <v>21339.5</v>
      </c>
      <c r="H943" s="1114">
        <f t="shared" si="99"/>
        <v>0.75423249567030715</v>
      </c>
    </row>
    <row r="944" spans="1:8" s="444" customFormat="1" ht="15" customHeight="1">
      <c r="A944" s="477"/>
      <c r="B944" s="479"/>
      <c r="C944" s="3155" t="s">
        <v>312</v>
      </c>
      <c r="D944" s="3156" t="s">
        <v>584</v>
      </c>
      <c r="E944" s="3148">
        <v>52040</v>
      </c>
      <c r="F944" s="3148">
        <v>251602</v>
      </c>
      <c r="G944" s="3149">
        <v>167392.32000000001</v>
      </c>
      <c r="H944" s="1114">
        <f t="shared" si="99"/>
        <v>0.66530599915739941</v>
      </c>
    </row>
    <row r="945" spans="1:8" s="444" customFormat="1" ht="15" customHeight="1">
      <c r="A945" s="477"/>
      <c r="B945" s="479"/>
      <c r="C945" s="3155" t="s">
        <v>328</v>
      </c>
      <c r="D945" s="3156" t="s">
        <v>585</v>
      </c>
      <c r="E945" s="3148">
        <v>0</v>
      </c>
      <c r="F945" s="3148">
        <v>3789</v>
      </c>
      <c r="G945" s="3149">
        <v>1646.88</v>
      </c>
      <c r="H945" s="1114">
        <f t="shared" si="99"/>
        <v>0.43464766429136981</v>
      </c>
    </row>
    <row r="946" spans="1:8" s="444" customFormat="1" ht="30" customHeight="1">
      <c r="A946" s="477"/>
      <c r="B946" s="479"/>
      <c r="C946" s="3155" t="s">
        <v>587</v>
      </c>
      <c r="D946" s="3156" t="s">
        <v>588</v>
      </c>
      <c r="E946" s="3148">
        <v>0</v>
      </c>
      <c r="F946" s="3148">
        <v>53380</v>
      </c>
      <c r="G946" s="3149">
        <v>52394.22</v>
      </c>
      <c r="H946" s="1114">
        <f t="shared" si="99"/>
        <v>0.98153278381416265</v>
      </c>
    </row>
    <row r="947" spans="1:8" s="444" customFormat="1" ht="15" customHeight="1">
      <c r="A947" s="477"/>
      <c r="B947" s="479"/>
      <c r="C947" s="3155" t="s">
        <v>326</v>
      </c>
      <c r="D947" s="3156" t="s">
        <v>589</v>
      </c>
      <c r="E947" s="3148">
        <v>30202</v>
      </c>
      <c r="F947" s="3148">
        <v>42702</v>
      </c>
      <c r="G947" s="3149">
        <v>32319.7</v>
      </c>
      <c r="H947" s="1114">
        <f t="shared" si="99"/>
        <v>0.7568661889372863</v>
      </c>
    </row>
    <row r="948" spans="1:8" s="444" customFormat="1" ht="15" customHeight="1">
      <c r="A948" s="477"/>
      <c r="B948" s="479"/>
      <c r="C948" s="3155" t="s">
        <v>324</v>
      </c>
      <c r="D948" s="3156" t="s">
        <v>593</v>
      </c>
      <c r="E948" s="3148">
        <v>375278</v>
      </c>
      <c r="F948" s="3148">
        <v>470681</v>
      </c>
      <c r="G948" s="3149">
        <v>470681</v>
      </c>
      <c r="H948" s="1114">
        <f t="shared" si="99"/>
        <v>1</v>
      </c>
    </row>
    <row r="949" spans="1:8" s="444" customFormat="1" ht="15" customHeight="1">
      <c r="A949" s="477"/>
      <c r="B949" s="479"/>
      <c r="C949" s="3155" t="s">
        <v>362</v>
      </c>
      <c r="D949" s="3160" t="s">
        <v>597</v>
      </c>
      <c r="E949" s="3148">
        <v>0</v>
      </c>
      <c r="F949" s="3148">
        <v>13368</v>
      </c>
      <c r="G949" s="3149">
        <v>12526</v>
      </c>
      <c r="H949" s="1114">
        <f t="shared" si="99"/>
        <v>0.93701376421304605</v>
      </c>
    </row>
    <row r="950" spans="1:8" s="444" customFormat="1" ht="15" customHeight="1">
      <c r="A950" s="477"/>
      <c r="B950" s="479"/>
      <c r="C950" s="3162" t="s">
        <v>598</v>
      </c>
      <c r="D950" s="3156" t="s">
        <v>599</v>
      </c>
      <c r="E950" s="3148">
        <v>200</v>
      </c>
      <c r="F950" s="3148">
        <v>200</v>
      </c>
      <c r="G950" s="3149">
        <v>0</v>
      </c>
      <c r="H950" s="1114">
        <f t="shared" si="99"/>
        <v>0</v>
      </c>
    </row>
    <row r="951" spans="1:8" s="444" customFormat="1" ht="15" customHeight="1" thickBot="1">
      <c r="A951" s="501"/>
      <c r="B951" s="502"/>
      <c r="C951" s="3163" t="s">
        <v>322</v>
      </c>
      <c r="D951" s="3164" t="s">
        <v>600</v>
      </c>
      <c r="E951" s="503">
        <v>17300</v>
      </c>
      <c r="F951" s="503">
        <v>167600</v>
      </c>
      <c r="G951" s="702">
        <v>157554.43</v>
      </c>
      <c r="H951" s="2245">
        <f t="shared" si="99"/>
        <v>0.94006223150357993</v>
      </c>
    </row>
    <row r="952" spans="1:8" s="444" customFormat="1" ht="15" customHeight="1">
      <c r="A952" s="500"/>
      <c r="B952" s="2966"/>
      <c r="C952" s="3165"/>
      <c r="D952" s="3165"/>
      <c r="E952" s="2292"/>
      <c r="F952" s="2292"/>
      <c r="G952" s="2435"/>
      <c r="H952" s="2063"/>
    </row>
    <row r="953" spans="1:8" s="444" customFormat="1" ht="15" customHeight="1">
      <c r="A953" s="477"/>
      <c r="B953" s="479"/>
      <c r="C953" s="5117" t="s">
        <v>773</v>
      </c>
      <c r="D953" s="5117"/>
      <c r="E953" s="3166">
        <f>SUM(E954:E955)</f>
        <v>26250</v>
      </c>
      <c r="F953" s="3166">
        <f t="shared" ref="F953:G953" si="100">SUM(F954:F955)</f>
        <v>108488</v>
      </c>
      <c r="G953" s="3167">
        <f t="shared" si="100"/>
        <v>107758.62</v>
      </c>
      <c r="H953" s="1114">
        <f>G953/F953</f>
        <v>0.99327686011356087</v>
      </c>
    </row>
    <row r="954" spans="1:8" s="444" customFormat="1" ht="15" customHeight="1">
      <c r="A954" s="477"/>
      <c r="B954" s="479"/>
      <c r="C954" s="3168" t="s">
        <v>321</v>
      </c>
      <c r="D954" s="3169" t="s">
        <v>602</v>
      </c>
      <c r="E954" s="3148">
        <v>26250</v>
      </c>
      <c r="F954" s="3148">
        <v>54488</v>
      </c>
      <c r="G954" s="3149">
        <v>53758.62</v>
      </c>
      <c r="H954" s="1114">
        <f>G954/F954</f>
        <v>0.98661393334312142</v>
      </c>
    </row>
    <row r="955" spans="1:8" s="444" customFormat="1" ht="15" customHeight="1">
      <c r="A955" s="477"/>
      <c r="B955" s="479"/>
      <c r="C955" s="531" t="s">
        <v>848</v>
      </c>
      <c r="D955" s="3170" t="s">
        <v>849</v>
      </c>
      <c r="E955" s="533">
        <v>0</v>
      </c>
      <c r="F955" s="533">
        <v>54000</v>
      </c>
      <c r="G955" s="677">
        <v>54000</v>
      </c>
      <c r="H955" s="1114">
        <f>G955/F955</f>
        <v>1</v>
      </c>
    </row>
    <row r="956" spans="1:8" s="444" customFormat="1" ht="15" customHeight="1">
      <c r="A956" s="477"/>
      <c r="B956" s="479"/>
      <c r="C956" s="3171"/>
      <c r="D956" s="3172"/>
      <c r="E956" s="3148"/>
      <c r="F956" s="3148"/>
      <c r="G956" s="3149"/>
      <c r="H956" s="1114"/>
    </row>
    <row r="957" spans="1:8" s="444" customFormat="1" ht="15" customHeight="1">
      <c r="A957" s="477"/>
      <c r="B957" s="479"/>
      <c r="C957" s="5118" t="s">
        <v>608</v>
      </c>
      <c r="D957" s="5119"/>
      <c r="E957" s="481">
        <f>SUM(E958:E987)</f>
        <v>145643</v>
      </c>
      <c r="F957" s="481">
        <f>SUM(F958:F987)</f>
        <v>1236219</v>
      </c>
      <c r="G957" s="604">
        <f>SUM(G958:G987)</f>
        <v>733635.64000000025</v>
      </c>
      <c r="H957" s="1114">
        <f t="shared" ref="H957:H987" si="101">G957/F957</f>
        <v>0.59345119270938262</v>
      </c>
    </row>
    <row r="958" spans="1:8" s="444" customFormat="1" ht="55.5" customHeight="1">
      <c r="A958" s="477"/>
      <c r="B958" s="479"/>
      <c r="C958" s="3173" t="s">
        <v>143</v>
      </c>
      <c r="D958" s="3005" t="s">
        <v>653</v>
      </c>
      <c r="E958" s="3148">
        <v>0</v>
      </c>
      <c r="F958" s="3148">
        <v>112200</v>
      </c>
      <c r="G958" s="3149">
        <v>0</v>
      </c>
      <c r="H958" s="1114">
        <f t="shared" si="101"/>
        <v>0</v>
      </c>
    </row>
    <row r="959" spans="1:8" s="444" customFormat="1" ht="56.25" customHeight="1">
      <c r="A959" s="477"/>
      <c r="B959" s="479"/>
      <c r="C959" s="3174" t="s">
        <v>611</v>
      </c>
      <c r="D959" s="3005" t="s">
        <v>653</v>
      </c>
      <c r="E959" s="3148">
        <v>0</v>
      </c>
      <c r="F959" s="3148">
        <v>19800</v>
      </c>
      <c r="G959" s="3149">
        <v>0</v>
      </c>
      <c r="H959" s="1114">
        <f t="shared" si="101"/>
        <v>0</v>
      </c>
    </row>
    <row r="960" spans="1:8" s="444" customFormat="1" ht="15" customHeight="1">
      <c r="A960" s="477"/>
      <c r="B960" s="479"/>
      <c r="C960" s="3175" t="s">
        <v>722</v>
      </c>
      <c r="D960" s="3176" t="s">
        <v>571</v>
      </c>
      <c r="E960" s="3148">
        <v>19515</v>
      </c>
      <c r="F960" s="3148">
        <v>349874</v>
      </c>
      <c r="G960" s="3149">
        <v>192537.72</v>
      </c>
      <c r="H960" s="1114">
        <f t="shared" si="101"/>
        <v>0.55030588154592797</v>
      </c>
    </row>
    <row r="961" spans="1:8" s="444" customFormat="1" ht="15" customHeight="1">
      <c r="A961" s="477"/>
      <c r="B961" s="479"/>
      <c r="C961" s="3175" t="s">
        <v>614</v>
      </c>
      <c r="D961" s="3176" t="s">
        <v>571</v>
      </c>
      <c r="E961" s="3148">
        <v>3544</v>
      </c>
      <c r="F961" s="3148">
        <v>62087</v>
      </c>
      <c r="G961" s="3149">
        <v>34262.730000000003</v>
      </c>
      <c r="H961" s="1114">
        <f t="shared" si="101"/>
        <v>0.55185030682751623</v>
      </c>
    </row>
    <row r="962" spans="1:8" s="444" customFormat="1" ht="15" customHeight="1">
      <c r="A962" s="477"/>
      <c r="B962" s="479"/>
      <c r="C962" s="3175" t="s">
        <v>723</v>
      </c>
      <c r="D962" s="3176" t="s">
        <v>573</v>
      </c>
      <c r="E962" s="3148">
        <v>15629</v>
      </c>
      <c r="F962" s="3148">
        <v>96970</v>
      </c>
      <c r="G962" s="3149">
        <v>67620.14</v>
      </c>
      <c r="H962" s="1114">
        <f t="shared" si="101"/>
        <v>0.6973305145921419</v>
      </c>
    </row>
    <row r="963" spans="1:8" s="444" customFormat="1" ht="15" customHeight="1">
      <c r="A963" s="479"/>
      <c r="B963" s="479"/>
      <c r="C963" s="3177" t="s">
        <v>618</v>
      </c>
      <c r="D963" s="3178" t="s">
        <v>573</v>
      </c>
      <c r="E963" s="3148">
        <v>2839</v>
      </c>
      <c r="F963" s="3148">
        <v>17338</v>
      </c>
      <c r="G963" s="3149">
        <v>12139.31</v>
      </c>
      <c r="H963" s="1114">
        <f t="shared" si="101"/>
        <v>0.7001563040719806</v>
      </c>
    </row>
    <row r="964" spans="1:8" s="444" customFormat="1" ht="15" customHeight="1">
      <c r="A964" s="479"/>
      <c r="B964" s="479"/>
      <c r="C964" s="3179" t="s">
        <v>724</v>
      </c>
      <c r="D964" s="3151" t="s">
        <v>574</v>
      </c>
      <c r="E964" s="3148">
        <v>2196</v>
      </c>
      <c r="F964" s="3148">
        <v>15511</v>
      </c>
      <c r="G964" s="3149">
        <v>8732.99</v>
      </c>
      <c r="H964" s="1114">
        <f t="shared" si="101"/>
        <v>0.56301914770163108</v>
      </c>
    </row>
    <row r="965" spans="1:8" s="444" customFormat="1" ht="15" customHeight="1">
      <c r="A965" s="477"/>
      <c r="B965" s="477"/>
      <c r="C965" s="3161" t="s">
        <v>620</v>
      </c>
      <c r="D965" s="2116" t="s">
        <v>574</v>
      </c>
      <c r="E965" s="481">
        <v>399</v>
      </c>
      <c r="F965" s="481">
        <v>2778</v>
      </c>
      <c r="G965" s="604">
        <v>1568.32</v>
      </c>
      <c r="H965" s="1114">
        <f t="shared" si="101"/>
        <v>0.56455003599712017</v>
      </c>
    </row>
    <row r="966" spans="1:8" s="444" customFormat="1" ht="15" customHeight="1">
      <c r="A966" s="477"/>
      <c r="B966" s="477"/>
      <c r="C966" s="3180" t="s">
        <v>725</v>
      </c>
      <c r="D966" s="3181" t="s">
        <v>575</v>
      </c>
      <c r="E966" s="3148">
        <v>25389</v>
      </c>
      <c r="F966" s="3148">
        <v>51080</v>
      </c>
      <c r="G966" s="3149">
        <v>43796.04</v>
      </c>
      <c r="H966" s="1114">
        <f t="shared" si="101"/>
        <v>0.85740093970242759</v>
      </c>
    </row>
    <row r="967" spans="1:8" s="444" customFormat="1" ht="15" customHeight="1">
      <c r="A967" s="477"/>
      <c r="B967" s="477"/>
      <c r="C967" s="3180" t="s">
        <v>622</v>
      </c>
      <c r="D967" s="3181" t="s">
        <v>575</v>
      </c>
      <c r="E967" s="3148">
        <v>4611</v>
      </c>
      <c r="F967" s="3148">
        <v>9277</v>
      </c>
      <c r="G967" s="3149">
        <v>7953.96</v>
      </c>
      <c r="H967" s="1114">
        <f t="shared" si="101"/>
        <v>0.85738493047321329</v>
      </c>
    </row>
    <row r="968" spans="1:8" s="444" customFormat="1" ht="15" customHeight="1">
      <c r="A968" s="477"/>
      <c r="B968" s="477"/>
      <c r="C968" s="3180" t="s">
        <v>708</v>
      </c>
      <c r="D968" s="3181" t="s">
        <v>579</v>
      </c>
      <c r="E968" s="3148">
        <v>1571</v>
      </c>
      <c r="F968" s="3148">
        <v>58142</v>
      </c>
      <c r="G968" s="3149">
        <v>52566.03</v>
      </c>
      <c r="H968" s="1114">
        <f t="shared" si="101"/>
        <v>0.90409738227099168</v>
      </c>
    </row>
    <row r="969" spans="1:8" s="444" customFormat="1" ht="15" customHeight="1">
      <c r="A969" s="477"/>
      <c r="B969" s="477"/>
      <c r="C969" s="3180" t="s">
        <v>627</v>
      </c>
      <c r="D969" s="3181" t="s">
        <v>579</v>
      </c>
      <c r="E969" s="3148">
        <v>285</v>
      </c>
      <c r="F969" s="3148">
        <v>10292</v>
      </c>
      <c r="G969" s="3149">
        <v>9291.26</v>
      </c>
      <c r="H969" s="1114">
        <f t="shared" si="101"/>
        <v>0.90276525456665369</v>
      </c>
    </row>
    <row r="970" spans="1:8" s="444" customFormat="1" ht="15" customHeight="1">
      <c r="A970" s="477"/>
      <c r="B970" s="477"/>
      <c r="C970" s="3180" t="s">
        <v>859</v>
      </c>
      <c r="D970" s="3181" t="s">
        <v>580</v>
      </c>
      <c r="E970" s="3148">
        <v>9394</v>
      </c>
      <c r="F970" s="3148">
        <v>43445</v>
      </c>
      <c r="G970" s="3149">
        <v>15580.46</v>
      </c>
      <c r="H970" s="1114">
        <f t="shared" si="101"/>
        <v>0.35862492806997354</v>
      </c>
    </row>
    <row r="971" spans="1:8" s="444" customFormat="1" ht="15" customHeight="1">
      <c r="A971" s="477"/>
      <c r="B971" s="477"/>
      <c r="C971" s="3180" t="s">
        <v>792</v>
      </c>
      <c r="D971" s="3181" t="s">
        <v>580</v>
      </c>
      <c r="E971" s="3148">
        <v>1706</v>
      </c>
      <c r="F971" s="3148">
        <v>7891</v>
      </c>
      <c r="G971" s="3149">
        <v>2829.68</v>
      </c>
      <c r="H971" s="1114">
        <f t="shared" si="101"/>
        <v>0.35859586871118992</v>
      </c>
    </row>
    <row r="972" spans="1:8" s="444" customFormat="1" ht="15" customHeight="1">
      <c r="A972" s="477"/>
      <c r="B972" s="477"/>
      <c r="C972" s="3180" t="s">
        <v>860</v>
      </c>
      <c r="D972" s="3181" t="s">
        <v>847</v>
      </c>
      <c r="E972" s="3148">
        <v>0</v>
      </c>
      <c r="F972" s="3148">
        <v>9706</v>
      </c>
      <c r="G972" s="3149">
        <v>9705.81</v>
      </c>
      <c r="H972" s="1114">
        <f t="shared" si="101"/>
        <v>0.99998042447970326</v>
      </c>
    </row>
    <row r="973" spans="1:8" s="444" customFormat="1" ht="15" customHeight="1">
      <c r="A973" s="477"/>
      <c r="B973" s="477"/>
      <c r="C973" s="3180" t="s">
        <v>861</v>
      </c>
      <c r="D973" s="3181" t="s">
        <v>847</v>
      </c>
      <c r="E973" s="3148">
        <v>0</v>
      </c>
      <c r="F973" s="3148">
        <v>1763</v>
      </c>
      <c r="G973" s="3149">
        <v>1762.71</v>
      </c>
      <c r="H973" s="1114">
        <f t="shared" si="101"/>
        <v>0.99983550765740214</v>
      </c>
    </row>
    <row r="974" spans="1:8" s="444" customFormat="1" ht="15" customHeight="1">
      <c r="A974" s="477"/>
      <c r="B974" s="477"/>
      <c r="C974" s="3180" t="s">
        <v>862</v>
      </c>
      <c r="D974" s="3181" t="s">
        <v>581</v>
      </c>
      <c r="E974" s="3148">
        <v>422</v>
      </c>
      <c r="F974" s="3148">
        <v>28514</v>
      </c>
      <c r="G974" s="3149">
        <v>9324.2099999999991</v>
      </c>
      <c r="H974" s="1114">
        <f t="shared" si="101"/>
        <v>0.32700462930490282</v>
      </c>
    </row>
    <row r="975" spans="1:8" s="444" customFormat="1" ht="15" customHeight="1">
      <c r="A975" s="477"/>
      <c r="B975" s="477"/>
      <c r="C975" s="3180" t="s">
        <v>753</v>
      </c>
      <c r="D975" s="3181" t="s">
        <v>581</v>
      </c>
      <c r="E975" s="3148">
        <v>78</v>
      </c>
      <c r="F975" s="3148">
        <v>5040</v>
      </c>
      <c r="G975" s="3149">
        <v>1649.34</v>
      </c>
      <c r="H975" s="1114">
        <f t="shared" si="101"/>
        <v>0.32724999999999999</v>
      </c>
    </row>
    <row r="976" spans="1:8" s="444" customFormat="1" ht="15" customHeight="1">
      <c r="A976" s="477"/>
      <c r="B976" s="477"/>
      <c r="C976" s="3180" t="s">
        <v>726</v>
      </c>
      <c r="D976" s="3181" t="s">
        <v>584</v>
      </c>
      <c r="E976" s="3148">
        <v>914</v>
      </c>
      <c r="F976" s="3148">
        <v>49327</v>
      </c>
      <c r="G976" s="3149">
        <v>10244.17</v>
      </c>
      <c r="H976" s="1114">
        <f t="shared" si="101"/>
        <v>0.20767875605652078</v>
      </c>
    </row>
    <row r="977" spans="1:8" s="444" customFormat="1" ht="15" customHeight="1">
      <c r="A977" s="477"/>
      <c r="B977" s="477"/>
      <c r="C977" s="3180" t="s">
        <v>631</v>
      </c>
      <c r="D977" s="3181" t="s">
        <v>584</v>
      </c>
      <c r="E977" s="3148">
        <v>166</v>
      </c>
      <c r="F977" s="3148">
        <v>8790</v>
      </c>
      <c r="G977" s="3149">
        <v>1854.49</v>
      </c>
      <c r="H977" s="1114">
        <f t="shared" si="101"/>
        <v>0.21097724687144481</v>
      </c>
    </row>
    <row r="978" spans="1:8" s="444" customFormat="1" ht="15" customHeight="1" thickBot="1">
      <c r="A978" s="501"/>
      <c r="B978" s="501"/>
      <c r="C978" s="3182" t="s">
        <v>863</v>
      </c>
      <c r="D978" s="3183" t="s">
        <v>864</v>
      </c>
      <c r="E978" s="2767">
        <v>212</v>
      </c>
      <c r="F978" s="2767">
        <v>2834</v>
      </c>
      <c r="G978" s="2768">
        <v>2334.31</v>
      </c>
      <c r="H978" s="2245">
        <f t="shared" si="101"/>
        <v>0.82368031051517288</v>
      </c>
    </row>
    <row r="979" spans="1:8" s="444" customFormat="1" ht="15" customHeight="1">
      <c r="A979" s="500"/>
      <c r="B979" s="500"/>
      <c r="C979" s="3184" t="s">
        <v>798</v>
      </c>
      <c r="D979" s="3185" t="s">
        <v>864</v>
      </c>
      <c r="E979" s="3186">
        <v>38</v>
      </c>
      <c r="F979" s="3186">
        <v>504</v>
      </c>
      <c r="G979" s="3187">
        <v>415.34</v>
      </c>
      <c r="H979" s="2063">
        <f t="shared" si="101"/>
        <v>0.82408730158730159</v>
      </c>
    </row>
    <row r="980" spans="1:8" s="444" customFormat="1" ht="27.75" customHeight="1">
      <c r="A980" s="477"/>
      <c r="B980" s="477"/>
      <c r="C980" s="3188" t="s">
        <v>865</v>
      </c>
      <c r="D980" s="3176" t="s">
        <v>588</v>
      </c>
      <c r="E980" s="3148">
        <v>0</v>
      </c>
      <c r="F980" s="3148">
        <v>48023</v>
      </c>
      <c r="G980" s="3149">
        <v>44441.49</v>
      </c>
      <c r="H980" s="1114">
        <f t="shared" si="101"/>
        <v>0.92542094413093723</v>
      </c>
    </row>
    <row r="981" spans="1:8" s="444" customFormat="1" ht="27.75" customHeight="1">
      <c r="A981" s="477"/>
      <c r="B981" s="477"/>
      <c r="C981" s="3188" t="s">
        <v>800</v>
      </c>
      <c r="D981" s="3176" t="s">
        <v>588</v>
      </c>
      <c r="E981" s="3148">
        <v>0</v>
      </c>
      <c r="F981" s="3148">
        <v>8475</v>
      </c>
      <c r="G981" s="3149">
        <v>7842.68</v>
      </c>
      <c r="H981" s="1114">
        <f t="shared" si="101"/>
        <v>0.92538997050147498</v>
      </c>
    </row>
    <row r="982" spans="1:8" s="444" customFormat="1" ht="15" customHeight="1">
      <c r="A982" s="477"/>
      <c r="B982" s="477"/>
      <c r="C982" s="3177" t="s">
        <v>727</v>
      </c>
      <c r="D982" s="3189" t="s">
        <v>589</v>
      </c>
      <c r="E982" s="3148">
        <v>0</v>
      </c>
      <c r="F982" s="3148">
        <v>7368</v>
      </c>
      <c r="G982" s="3149">
        <v>4181.87</v>
      </c>
      <c r="H982" s="1114">
        <f t="shared" si="101"/>
        <v>0.56757193268186756</v>
      </c>
    </row>
    <row r="983" spans="1:8" s="444" customFormat="1" ht="15" customHeight="1">
      <c r="A983" s="479"/>
      <c r="B983" s="479"/>
      <c r="C983" s="3161" t="s">
        <v>633</v>
      </c>
      <c r="D983" s="2116" t="s">
        <v>589</v>
      </c>
      <c r="E983" s="481">
        <v>0</v>
      </c>
      <c r="F983" s="481">
        <v>1339</v>
      </c>
      <c r="G983" s="604">
        <v>759.53</v>
      </c>
      <c r="H983" s="1114">
        <f t="shared" si="101"/>
        <v>0.56723674383868561</v>
      </c>
    </row>
    <row r="984" spans="1:8" s="444" customFormat="1" ht="15" customHeight="1">
      <c r="A984" s="477"/>
      <c r="B984" s="477"/>
      <c r="C984" s="3180" t="s">
        <v>730</v>
      </c>
      <c r="D984" s="3190" t="s">
        <v>576</v>
      </c>
      <c r="E984" s="3148">
        <v>1088</v>
      </c>
      <c r="F984" s="3148">
        <v>8501</v>
      </c>
      <c r="G984" s="3149">
        <v>4097.53</v>
      </c>
      <c r="H984" s="1114">
        <f t="shared" si="101"/>
        <v>0.4820056463945418</v>
      </c>
    </row>
    <row r="985" spans="1:8" s="444" customFormat="1" ht="15" customHeight="1">
      <c r="A985" s="477"/>
      <c r="B985" s="477"/>
      <c r="C985" s="3177" t="s">
        <v>639</v>
      </c>
      <c r="D985" s="3191" t="s">
        <v>576</v>
      </c>
      <c r="E985" s="3148">
        <v>197</v>
      </c>
      <c r="F985" s="3148">
        <v>1519</v>
      </c>
      <c r="G985" s="3149">
        <v>735.74</v>
      </c>
      <c r="H985" s="1114">
        <f t="shared" si="101"/>
        <v>0.48435813034891378</v>
      </c>
    </row>
    <row r="986" spans="1:8" s="444" customFormat="1" ht="15" customHeight="1">
      <c r="A986" s="479"/>
      <c r="B986" s="479"/>
      <c r="C986" s="654" t="s">
        <v>866</v>
      </c>
      <c r="D986" s="3192" t="s">
        <v>844</v>
      </c>
      <c r="E986" s="481">
        <v>46927</v>
      </c>
      <c r="F986" s="481">
        <v>167545</v>
      </c>
      <c r="G986" s="604">
        <v>157010.48000000001</v>
      </c>
      <c r="H986" s="3193">
        <f t="shared" si="101"/>
        <v>0.93712423528007405</v>
      </c>
    </row>
    <row r="987" spans="1:8" s="444" customFormat="1" ht="15" customHeight="1">
      <c r="A987" s="477"/>
      <c r="B987" s="477"/>
      <c r="C987" s="3194" t="s">
        <v>867</v>
      </c>
      <c r="D987" s="3176" t="s">
        <v>844</v>
      </c>
      <c r="E987" s="3148">
        <v>8523</v>
      </c>
      <c r="F987" s="3148">
        <v>30286</v>
      </c>
      <c r="G987" s="3149">
        <v>28397.3</v>
      </c>
      <c r="H987" s="3193">
        <f t="shared" si="101"/>
        <v>0.93763785247308984</v>
      </c>
    </row>
    <row r="988" spans="1:8" s="444" customFormat="1" ht="15" customHeight="1">
      <c r="A988" s="477"/>
      <c r="B988" s="477"/>
      <c r="C988" s="3195"/>
      <c r="D988" s="3196"/>
      <c r="E988" s="3148"/>
      <c r="F988" s="3148"/>
      <c r="G988" s="3149"/>
      <c r="H988" s="3193"/>
    </row>
    <row r="989" spans="1:8" s="444" customFormat="1" ht="15" customHeight="1">
      <c r="A989" s="477"/>
      <c r="B989" s="477"/>
      <c r="C989" s="5120" t="s">
        <v>603</v>
      </c>
      <c r="D989" s="5121"/>
      <c r="E989" s="3197">
        <f t="shared" ref="E989:G990" si="102">SUM(E990)</f>
        <v>48000</v>
      </c>
      <c r="F989" s="3197">
        <f t="shared" si="102"/>
        <v>48000</v>
      </c>
      <c r="G989" s="3198">
        <f t="shared" si="102"/>
        <v>47999.360000000001</v>
      </c>
      <c r="H989" s="3199">
        <f t="shared" ref="H989:H1001" si="103">G989/F989</f>
        <v>0.99998666666666669</v>
      </c>
    </row>
    <row r="990" spans="1:8" s="444" customFormat="1" ht="15" customHeight="1">
      <c r="A990" s="477"/>
      <c r="B990" s="477"/>
      <c r="C990" s="5107" t="s">
        <v>604</v>
      </c>
      <c r="D990" s="5108"/>
      <c r="E990" s="481">
        <f t="shared" si="102"/>
        <v>48000</v>
      </c>
      <c r="F990" s="481">
        <f t="shared" si="102"/>
        <v>48000</v>
      </c>
      <c r="G990" s="604">
        <f t="shared" si="102"/>
        <v>47999.360000000001</v>
      </c>
      <c r="H990" s="3193">
        <f t="shared" si="103"/>
        <v>0.99998666666666669</v>
      </c>
    </row>
    <row r="991" spans="1:8" s="444" customFormat="1" ht="15" customHeight="1" thickBot="1">
      <c r="A991" s="477"/>
      <c r="B991" s="477"/>
      <c r="C991" s="3200" t="s">
        <v>354</v>
      </c>
      <c r="D991" s="3151" t="s">
        <v>605</v>
      </c>
      <c r="E991" s="3148">
        <v>48000</v>
      </c>
      <c r="F991" s="3148">
        <v>48000</v>
      </c>
      <c r="G991" s="3149">
        <v>47999.360000000001</v>
      </c>
      <c r="H991" s="3193">
        <f t="shared" si="103"/>
        <v>0.99998666666666669</v>
      </c>
    </row>
    <row r="992" spans="1:8" s="444" customFormat="1" ht="15" customHeight="1" thickBot="1">
      <c r="A992" s="477"/>
      <c r="B992" s="484" t="s">
        <v>868</v>
      </c>
      <c r="C992" s="2049"/>
      <c r="D992" s="2050" t="s">
        <v>205</v>
      </c>
      <c r="E992" s="485">
        <f>SUM(E993,E1035)</f>
        <v>11041358</v>
      </c>
      <c r="F992" s="485">
        <f t="shared" ref="F992:G992" si="104">SUM(F993,F1035)</f>
        <v>11212037</v>
      </c>
      <c r="G992" s="534">
        <f t="shared" si="104"/>
        <v>10990396.890000002</v>
      </c>
      <c r="H992" s="699">
        <f t="shared" si="103"/>
        <v>0.98023194982321249</v>
      </c>
    </row>
    <row r="993" spans="1:8" ht="15" customHeight="1">
      <c r="A993" s="517"/>
      <c r="B993" s="479"/>
      <c r="C993" s="5109" t="s">
        <v>567</v>
      </c>
      <c r="D993" s="5109"/>
      <c r="E993" s="486">
        <f>SUM(E994,E1019,E1023)</f>
        <v>11014478</v>
      </c>
      <c r="F993" s="486">
        <f t="shared" ref="F993:G993" si="105">SUM(F994,F1019,F1023)</f>
        <v>11185157</v>
      </c>
      <c r="G993" s="605">
        <f t="shared" si="105"/>
        <v>10963519.990000002</v>
      </c>
      <c r="H993" s="3199">
        <f t="shared" si="103"/>
        <v>0.98018472069725993</v>
      </c>
    </row>
    <row r="994" spans="1:8" ht="15" customHeight="1">
      <c r="A994" s="517"/>
      <c r="B994" s="479"/>
      <c r="C994" s="5110" t="s">
        <v>568</v>
      </c>
      <c r="D994" s="5110"/>
      <c r="E994" s="3148">
        <f>SUM(E995,E1003)</f>
        <v>10998282</v>
      </c>
      <c r="F994" s="3148">
        <f t="shared" ref="F994:G994" si="106">SUM(F995,F1003)</f>
        <v>11019528</v>
      </c>
      <c r="G994" s="3149">
        <f t="shared" si="106"/>
        <v>10798486.530000001</v>
      </c>
      <c r="H994" s="3193">
        <f t="shared" si="103"/>
        <v>0.97994093122681858</v>
      </c>
    </row>
    <row r="995" spans="1:8" ht="15" customHeight="1">
      <c r="A995" s="517"/>
      <c r="B995" s="479"/>
      <c r="C995" s="5111" t="s">
        <v>569</v>
      </c>
      <c r="D995" s="5111"/>
      <c r="E995" s="3153">
        <f>SUM(E996:E1001)</f>
        <v>7346668</v>
      </c>
      <c r="F995" s="3153">
        <f t="shared" ref="F995:G995" si="107">SUM(F996:F1001)</f>
        <v>7631144</v>
      </c>
      <c r="G995" s="3154">
        <f t="shared" si="107"/>
        <v>7629378.4700000007</v>
      </c>
      <c r="H995" s="3201">
        <f t="shared" si="103"/>
        <v>0.9997686415038165</v>
      </c>
    </row>
    <row r="996" spans="1:8" s="444" customFormat="1" ht="15" customHeight="1">
      <c r="A996" s="477"/>
      <c r="B996" s="479"/>
      <c r="C996" s="3202" t="s">
        <v>315</v>
      </c>
      <c r="D996" s="3203" t="s">
        <v>573</v>
      </c>
      <c r="E996" s="3148">
        <v>1009915</v>
      </c>
      <c r="F996" s="3148">
        <v>1070078</v>
      </c>
      <c r="G996" s="3149">
        <v>1069853.26</v>
      </c>
      <c r="H996" s="3193">
        <f t="shared" si="103"/>
        <v>0.99978997792684277</v>
      </c>
    </row>
    <row r="997" spans="1:8" s="444" customFormat="1" ht="15" customHeight="1">
      <c r="A997" s="477"/>
      <c r="B997" s="479"/>
      <c r="C997" s="3179" t="s">
        <v>314</v>
      </c>
      <c r="D997" s="3204" t="s">
        <v>574</v>
      </c>
      <c r="E997" s="3148">
        <v>143937</v>
      </c>
      <c r="F997" s="3148">
        <v>101211</v>
      </c>
      <c r="G997" s="3149">
        <v>101211</v>
      </c>
      <c r="H997" s="3193">
        <f t="shared" si="103"/>
        <v>1</v>
      </c>
    </row>
    <row r="998" spans="1:8" s="444" customFormat="1" ht="15" customHeight="1">
      <c r="A998" s="477"/>
      <c r="B998" s="479"/>
      <c r="C998" s="3179" t="s">
        <v>319</v>
      </c>
      <c r="D998" s="3204" t="s">
        <v>575</v>
      </c>
      <c r="E998" s="3148">
        <v>20000</v>
      </c>
      <c r="F998" s="3148">
        <v>20000</v>
      </c>
      <c r="G998" s="3149">
        <v>19480</v>
      </c>
      <c r="H998" s="3193">
        <f t="shared" si="103"/>
        <v>0.97399999999999998</v>
      </c>
    </row>
    <row r="999" spans="1:8" s="444" customFormat="1" ht="15" customHeight="1">
      <c r="A999" s="477"/>
      <c r="B999" s="479"/>
      <c r="C999" s="3179" t="s">
        <v>335</v>
      </c>
      <c r="D999" s="3205" t="s">
        <v>576</v>
      </c>
      <c r="E999" s="3148">
        <v>21000</v>
      </c>
      <c r="F999" s="3148">
        <v>27015</v>
      </c>
      <c r="G999" s="3149">
        <v>26393.56</v>
      </c>
      <c r="H999" s="3193">
        <f t="shared" si="103"/>
        <v>0.97699648343512868</v>
      </c>
    </row>
    <row r="1000" spans="1:8" s="444" customFormat="1" ht="15" customHeight="1">
      <c r="A1000" s="477"/>
      <c r="B1000" s="479"/>
      <c r="C1000" s="3175" t="s">
        <v>843</v>
      </c>
      <c r="D1000" s="3176" t="s">
        <v>844</v>
      </c>
      <c r="E1000" s="3148">
        <v>5691561</v>
      </c>
      <c r="F1000" s="3148">
        <v>5992044</v>
      </c>
      <c r="G1000" s="3149">
        <v>5991645.3300000001</v>
      </c>
      <c r="H1000" s="3193">
        <f t="shared" si="103"/>
        <v>0.99993346677694628</v>
      </c>
    </row>
    <row r="1001" spans="1:8" s="444" customFormat="1" ht="15" customHeight="1">
      <c r="A1001" s="477"/>
      <c r="B1001" s="479"/>
      <c r="C1001" s="3175" t="s">
        <v>845</v>
      </c>
      <c r="D1001" s="3176" t="s">
        <v>846</v>
      </c>
      <c r="E1001" s="3148">
        <v>460255</v>
      </c>
      <c r="F1001" s="3148">
        <v>420796</v>
      </c>
      <c r="G1001" s="3149">
        <v>420795.32</v>
      </c>
      <c r="H1001" s="3193">
        <f t="shared" si="103"/>
        <v>0.99999838401505714</v>
      </c>
    </row>
    <row r="1002" spans="1:8" s="444" customFormat="1" ht="15" customHeight="1">
      <c r="A1002" s="477"/>
      <c r="B1002" s="479"/>
      <c r="C1002" s="3206"/>
      <c r="D1002" s="3206"/>
      <c r="E1002" s="3148"/>
      <c r="F1002" s="3148"/>
      <c r="G1002" s="3149"/>
      <c r="H1002" s="3193"/>
    </row>
    <row r="1003" spans="1:8" s="444" customFormat="1" ht="15" customHeight="1">
      <c r="A1003" s="477"/>
      <c r="B1003" s="479"/>
      <c r="C1003" s="5112" t="s">
        <v>577</v>
      </c>
      <c r="D1003" s="5112"/>
      <c r="E1003" s="3207">
        <f>SUM(E1004:E1017)</f>
        <v>3651614</v>
      </c>
      <c r="F1003" s="3207">
        <f>SUM(F1004:F1017)</f>
        <v>3388384</v>
      </c>
      <c r="G1003" s="3208">
        <f>SUM(G1004:G1017)</f>
        <v>3169108.0599999996</v>
      </c>
      <c r="H1003" s="3201">
        <f t="shared" ref="H1003:H1017" si="108">G1003/F1003</f>
        <v>0.93528598293463772</v>
      </c>
    </row>
    <row r="1004" spans="1:8" s="444" customFormat="1" ht="15" customHeight="1">
      <c r="A1004" s="477"/>
      <c r="B1004" s="479"/>
      <c r="C1004" s="3175" t="s">
        <v>313</v>
      </c>
      <c r="D1004" s="3176" t="s">
        <v>579</v>
      </c>
      <c r="E1004" s="3148">
        <v>653920</v>
      </c>
      <c r="F1004" s="3148">
        <v>587220</v>
      </c>
      <c r="G1004" s="3149">
        <v>517147.12</v>
      </c>
      <c r="H1004" s="3193">
        <f t="shared" si="108"/>
        <v>0.88067014066278393</v>
      </c>
    </row>
    <row r="1005" spans="1:8" s="444" customFormat="1" ht="15" customHeight="1">
      <c r="A1005" s="477"/>
      <c r="B1005" s="479"/>
      <c r="C1005" s="3180" t="s">
        <v>332</v>
      </c>
      <c r="D1005" s="3176" t="s">
        <v>847</v>
      </c>
      <c r="E1005" s="3148">
        <v>207000</v>
      </c>
      <c r="F1005" s="3148">
        <v>207000</v>
      </c>
      <c r="G1005" s="3149">
        <v>205032.41</v>
      </c>
      <c r="H1005" s="3193">
        <f t="shared" si="108"/>
        <v>0.99049473429951695</v>
      </c>
    </row>
    <row r="1006" spans="1:8" s="444" customFormat="1" ht="15" customHeight="1">
      <c r="A1006" s="479"/>
      <c r="B1006" s="479"/>
      <c r="C1006" s="3177" t="s">
        <v>331</v>
      </c>
      <c r="D1006" s="3178" t="s">
        <v>581</v>
      </c>
      <c r="E1006" s="3148">
        <v>658347</v>
      </c>
      <c r="F1006" s="3148">
        <v>698347</v>
      </c>
      <c r="G1006" s="3149">
        <v>649291.18999999994</v>
      </c>
      <c r="H1006" s="3193">
        <f t="shared" si="108"/>
        <v>0.92975439144150396</v>
      </c>
    </row>
    <row r="1007" spans="1:8" s="444" customFormat="1" ht="15" customHeight="1">
      <c r="A1007" s="477"/>
      <c r="B1007" s="479"/>
      <c r="C1007" s="3209" t="s">
        <v>330</v>
      </c>
      <c r="D1007" s="3192" t="s">
        <v>582</v>
      </c>
      <c r="E1007" s="481">
        <v>623460</v>
      </c>
      <c r="F1007" s="481">
        <v>348460</v>
      </c>
      <c r="G1007" s="604">
        <v>288305.33</v>
      </c>
      <c r="H1007" s="3193">
        <f t="shared" si="108"/>
        <v>0.82736994203064917</v>
      </c>
    </row>
    <row r="1008" spans="1:8" s="444" customFormat="1" ht="15" customHeight="1">
      <c r="A1008" s="477"/>
      <c r="B1008" s="479"/>
      <c r="C1008" s="3175" t="s">
        <v>329</v>
      </c>
      <c r="D1008" s="3176" t="s">
        <v>583</v>
      </c>
      <c r="E1008" s="3148">
        <v>7200</v>
      </c>
      <c r="F1008" s="3148">
        <v>7200</v>
      </c>
      <c r="G1008" s="3149">
        <v>3899</v>
      </c>
      <c r="H1008" s="3193">
        <f t="shared" si="108"/>
        <v>0.54152777777777783</v>
      </c>
    </row>
    <row r="1009" spans="1:8" s="444" customFormat="1" ht="15" customHeight="1" thickBot="1">
      <c r="A1009" s="502"/>
      <c r="B1009" s="502"/>
      <c r="C1009" s="3182" t="s">
        <v>312</v>
      </c>
      <c r="D1009" s="3210" t="s">
        <v>584</v>
      </c>
      <c r="E1009" s="503">
        <v>733814</v>
      </c>
      <c r="F1009" s="503">
        <v>646213</v>
      </c>
      <c r="G1009" s="702">
        <v>639424.80000000005</v>
      </c>
      <c r="H1009" s="2245">
        <f t="shared" si="108"/>
        <v>0.98949541405078523</v>
      </c>
    </row>
    <row r="1010" spans="1:8" s="444" customFormat="1" ht="15" customHeight="1">
      <c r="A1010" s="2966"/>
      <c r="B1010" s="2966"/>
      <c r="C1010" s="3135" t="s">
        <v>328</v>
      </c>
      <c r="D1010" s="2329" t="s">
        <v>585</v>
      </c>
      <c r="E1010" s="2292">
        <v>99072</v>
      </c>
      <c r="F1010" s="2292">
        <v>77657</v>
      </c>
      <c r="G1010" s="2435">
        <v>70993.34</v>
      </c>
      <c r="H1010" s="2063">
        <f t="shared" si="108"/>
        <v>0.91419112250022527</v>
      </c>
    </row>
    <row r="1011" spans="1:8" s="444" customFormat="1" ht="25.5">
      <c r="A1011" s="477"/>
      <c r="B1011" s="479"/>
      <c r="C1011" s="3175" t="s">
        <v>587</v>
      </c>
      <c r="D1011" s="3176" t="s">
        <v>588</v>
      </c>
      <c r="E1011" s="3148">
        <v>290015</v>
      </c>
      <c r="F1011" s="3148">
        <v>417031</v>
      </c>
      <c r="G1011" s="3149">
        <v>411573.38</v>
      </c>
      <c r="H1011" s="3193">
        <f t="shared" si="108"/>
        <v>0.98691315513714806</v>
      </c>
    </row>
    <row r="1012" spans="1:8" s="444" customFormat="1" ht="15" customHeight="1">
      <c r="A1012" s="477"/>
      <c r="B1012" s="479"/>
      <c r="C1012" s="3202" t="s">
        <v>326</v>
      </c>
      <c r="D1012" s="3203" t="s">
        <v>589</v>
      </c>
      <c r="E1012" s="3148">
        <v>19500</v>
      </c>
      <c r="F1012" s="3148">
        <v>19500</v>
      </c>
      <c r="G1012" s="3149">
        <v>11356.69</v>
      </c>
      <c r="H1012" s="3193">
        <f t="shared" si="108"/>
        <v>0.58239435897435898</v>
      </c>
    </row>
    <row r="1013" spans="1:8" s="444" customFormat="1" ht="15" customHeight="1">
      <c r="A1013" s="477"/>
      <c r="B1013" s="479"/>
      <c r="C1013" s="3179" t="s">
        <v>325</v>
      </c>
      <c r="D1013" s="3204" t="s">
        <v>592</v>
      </c>
      <c r="E1013" s="3148">
        <v>32700</v>
      </c>
      <c r="F1013" s="3148">
        <v>32700</v>
      </c>
      <c r="G1013" s="3149">
        <v>32700</v>
      </c>
      <c r="H1013" s="3193">
        <f t="shared" si="108"/>
        <v>1</v>
      </c>
    </row>
    <row r="1014" spans="1:8" s="444" customFormat="1" ht="15" customHeight="1">
      <c r="A1014" s="477"/>
      <c r="B1014" s="479"/>
      <c r="C1014" s="3211" t="s">
        <v>324</v>
      </c>
      <c r="D1014" s="3192" t="s">
        <v>593</v>
      </c>
      <c r="E1014" s="3148">
        <v>283086</v>
      </c>
      <c r="F1014" s="3148">
        <v>303556</v>
      </c>
      <c r="G1014" s="3149">
        <v>303556</v>
      </c>
      <c r="H1014" s="3193">
        <f t="shared" si="108"/>
        <v>1</v>
      </c>
    </row>
    <row r="1015" spans="1:8" s="444" customFormat="1" ht="15" customHeight="1">
      <c r="A1015" s="479"/>
      <c r="B1015" s="479"/>
      <c r="C1015" s="3177" t="s">
        <v>362</v>
      </c>
      <c r="D1015" s="3178" t="s">
        <v>597</v>
      </c>
      <c r="E1015" s="3148">
        <v>10500</v>
      </c>
      <c r="F1015" s="3148">
        <v>10500</v>
      </c>
      <c r="G1015" s="3149">
        <v>4828.8</v>
      </c>
      <c r="H1015" s="3193">
        <f t="shared" si="108"/>
        <v>0.45988571428571429</v>
      </c>
    </row>
    <row r="1016" spans="1:8" s="444" customFormat="1" ht="15" customHeight="1">
      <c r="A1016" s="477"/>
      <c r="B1016" s="479"/>
      <c r="C1016" s="3209" t="s">
        <v>598</v>
      </c>
      <c r="D1016" s="3192" t="s">
        <v>599</v>
      </c>
      <c r="E1016" s="3148">
        <v>2000</v>
      </c>
      <c r="F1016" s="3148">
        <v>2000</v>
      </c>
      <c r="G1016" s="3149">
        <v>0</v>
      </c>
      <c r="H1016" s="3193">
        <f t="shared" si="108"/>
        <v>0</v>
      </c>
    </row>
    <row r="1017" spans="1:8" s="444" customFormat="1" ht="15" customHeight="1">
      <c r="A1017" s="477"/>
      <c r="B1017" s="479"/>
      <c r="C1017" s="3175" t="s">
        <v>322</v>
      </c>
      <c r="D1017" s="3176" t="s">
        <v>600</v>
      </c>
      <c r="E1017" s="481">
        <v>31000</v>
      </c>
      <c r="F1017" s="481">
        <v>31000</v>
      </c>
      <c r="G1017" s="604">
        <v>31000</v>
      </c>
      <c r="H1017" s="3193">
        <f t="shared" si="108"/>
        <v>1</v>
      </c>
    </row>
    <row r="1018" spans="1:8" s="444" customFormat="1" ht="15" customHeight="1">
      <c r="A1018" s="479"/>
      <c r="B1018" s="479"/>
      <c r="C1018" s="3212"/>
      <c r="D1018" s="3213"/>
      <c r="E1018" s="3214"/>
      <c r="F1018" s="3214"/>
      <c r="G1018" s="3215"/>
      <c r="H1018" s="3193"/>
    </row>
    <row r="1019" spans="1:8" s="444" customFormat="1" ht="15" customHeight="1">
      <c r="A1019" s="477"/>
      <c r="B1019" s="479"/>
      <c r="C1019" s="5113" t="s">
        <v>773</v>
      </c>
      <c r="D1019" s="5114"/>
      <c r="E1019" s="3216">
        <f>SUM(E1020:E1021)</f>
        <v>16196</v>
      </c>
      <c r="F1019" s="3216">
        <f t="shared" ref="F1019:G1019" si="109">SUM(F1020:F1021)</f>
        <v>118271</v>
      </c>
      <c r="G1019" s="3217">
        <f t="shared" si="109"/>
        <v>117675.45999999999</v>
      </c>
      <c r="H1019" s="3193">
        <f>G1019/F1019</f>
        <v>0.99496461516348045</v>
      </c>
    </row>
    <row r="1020" spans="1:8" s="444" customFormat="1" ht="15" customHeight="1">
      <c r="A1020" s="477"/>
      <c r="B1020" s="479"/>
      <c r="C1020" s="3194" t="s">
        <v>321</v>
      </c>
      <c r="D1020" s="3218" t="s">
        <v>602</v>
      </c>
      <c r="E1020" s="3148">
        <v>16196</v>
      </c>
      <c r="F1020" s="3148">
        <v>24896</v>
      </c>
      <c r="G1020" s="3149">
        <v>24300.46</v>
      </c>
      <c r="H1020" s="3193">
        <f>G1020/F1020</f>
        <v>0.97607888817480715</v>
      </c>
    </row>
    <row r="1021" spans="1:8" s="444" customFormat="1" ht="15" customHeight="1">
      <c r="A1021" s="477"/>
      <c r="B1021" s="479"/>
      <c r="C1021" s="3179" t="s">
        <v>848</v>
      </c>
      <c r="D1021" s="3219" t="s">
        <v>849</v>
      </c>
      <c r="E1021" s="3148">
        <v>0</v>
      </c>
      <c r="F1021" s="3148">
        <v>93375</v>
      </c>
      <c r="G1021" s="3149">
        <v>93375</v>
      </c>
      <c r="H1021" s="3220">
        <f>G1021/F1021</f>
        <v>1</v>
      </c>
    </row>
    <row r="1022" spans="1:8" s="444" customFormat="1" ht="15" customHeight="1">
      <c r="A1022" s="477"/>
      <c r="B1022" s="479"/>
      <c r="C1022" s="3221"/>
      <c r="D1022" s="3222"/>
      <c r="E1022" s="481"/>
      <c r="F1022" s="481"/>
      <c r="G1022" s="604"/>
      <c r="H1022" s="3193"/>
    </row>
    <row r="1023" spans="1:8" s="444" customFormat="1" ht="15" customHeight="1">
      <c r="A1023" s="477"/>
      <c r="B1023" s="479"/>
      <c r="C1023" s="5134" t="s">
        <v>608</v>
      </c>
      <c r="D1023" s="5134"/>
      <c r="E1023" s="3148">
        <f>SUM(E1024:E1033)</f>
        <v>0</v>
      </c>
      <c r="F1023" s="3148">
        <f t="shared" ref="F1023:G1023" si="110">SUM(F1024:F1033)</f>
        <v>47358</v>
      </c>
      <c r="G1023" s="3149">
        <f t="shared" si="110"/>
        <v>47358</v>
      </c>
      <c r="H1023" s="3193">
        <f t="shared" ref="H1023:H1051" si="111">G1023/F1023</f>
        <v>1</v>
      </c>
    </row>
    <row r="1024" spans="1:8" s="444" customFormat="1" ht="15" customHeight="1">
      <c r="A1024" s="477"/>
      <c r="B1024" s="479"/>
      <c r="C1024" s="3223" t="s">
        <v>723</v>
      </c>
      <c r="D1024" s="3224" t="s">
        <v>573</v>
      </c>
      <c r="E1024" s="3148">
        <v>0</v>
      </c>
      <c r="F1024" s="3148">
        <v>3486</v>
      </c>
      <c r="G1024" s="3149">
        <v>3486</v>
      </c>
      <c r="H1024" s="3193">
        <f t="shared" si="111"/>
        <v>1</v>
      </c>
    </row>
    <row r="1025" spans="1:8" s="444" customFormat="1" ht="15" customHeight="1">
      <c r="A1025" s="477"/>
      <c r="B1025" s="479"/>
      <c r="C1025" s="3223" t="s">
        <v>618</v>
      </c>
      <c r="D1025" s="3224" t="s">
        <v>573</v>
      </c>
      <c r="E1025" s="3148">
        <v>0</v>
      </c>
      <c r="F1025" s="3148">
        <v>650</v>
      </c>
      <c r="G1025" s="3149">
        <v>650</v>
      </c>
      <c r="H1025" s="3193">
        <f t="shared" si="111"/>
        <v>1</v>
      </c>
    </row>
    <row r="1026" spans="1:8" s="444" customFormat="1" ht="15" customHeight="1">
      <c r="A1026" s="477"/>
      <c r="B1026" s="479"/>
      <c r="C1026" s="3223" t="s">
        <v>724</v>
      </c>
      <c r="D1026" s="3225" t="s">
        <v>574</v>
      </c>
      <c r="E1026" s="3148">
        <v>0</v>
      </c>
      <c r="F1026" s="3148">
        <v>497</v>
      </c>
      <c r="G1026" s="3149">
        <v>497</v>
      </c>
      <c r="H1026" s="3193">
        <f t="shared" si="111"/>
        <v>1</v>
      </c>
    </row>
    <row r="1027" spans="1:8" s="444" customFormat="1" ht="15" customHeight="1">
      <c r="A1027" s="477"/>
      <c r="B1027" s="479"/>
      <c r="C1027" s="3226" t="s">
        <v>620</v>
      </c>
      <c r="D1027" s="3225" t="s">
        <v>574</v>
      </c>
      <c r="E1027" s="3148">
        <v>0</v>
      </c>
      <c r="F1027" s="3148">
        <v>93</v>
      </c>
      <c r="G1027" s="3149">
        <v>93</v>
      </c>
      <c r="H1027" s="3193">
        <f t="shared" si="111"/>
        <v>1</v>
      </c>
    </row>
    <row r="1028" spans="1:8" s="444" customFormat="1" ht="15" customHeight="1">
      <c r="A1028" s="477"/>
      <c r="B1028" s="479"/>
      <c r="C1028" s="3226" t="s">
        <v>860</v>
      </c>
      <c r="D1028" s="3227" t="s">
        <v>847</v>
      </c>
      <c r="E1028" s="3148">
        <v>0</v>
      </c>
      <c r="F1028" s="3148">
        <v>15346</v>
      </c>
      <c r="G1028" s="3149">
        <v>15346.32</v>
      </c>
      <c r="H1028" s="3193">
        <f t="shared" si="111"/>
        <v>1.0000208523393719</v>
      </c>
    </row>
    <row r="1029" spans="1:8" s="444" customFormat="1" ht="15" customHeight="1">
      <c r="A1029" s="477"/>
      <c r="B1029" s="479"/>
      <c r="C1029" s="3226" t="s">
        <v>861</v>
      </c>
      <c r="D1029" s="3227" t="s">
        <v>847</v>
      </c>
      <c r="E1029" s="3148">
        <v>0</v>
      </c>
      <c r="F1029" s="3148">
        <v>2862</v>
      </c>
      <c r="G1029" s="3149">
        <v>2861.68</v>
      </c>
      <c r="H1029" s="3193">
        <f t="shared" si="111"/>
        <v>0.99988819007686924</v>
      </c>
    </row>
    <row r="1030" spans="1:8" s="444" customFormat="1" ht="15" customHeight="1">
      <c r="A1030" s="477"/>
      <c r="B1030" s="479"/>
      <c r="C1030" s="3226" t="s">
        <v>730</v>
      </c>
      <c r="D1030" s="3205" t="s">
        <v>576</v>
      </c>
      <c r="E1030" s="3148">
        <v>0</v>
      </c>
      <c r="F1030" s="3148">
        <v>304</v>
      </c>
      <c r="G1030" s="3149">
        <v>304</v>
      </c>
      <c r="H1030" s="3193">
        <f t="shared" si="111"/>
        <v>1</v>
      </c>
    </row>
    <row r="1031" spans="1:8" s="444" customFormat="1" ht="15" customHeight="1">
      <c r="A1031" s="477"/>
      <c r="B1031" s="479"/>
      <c r="C1031" s="3226" t="s">
        <v>639</v>
      </c>
      <c r="D1031" s="3205" t="s">
        <v>576</v>
      </c>
      <c r="E1031" s="3148">
        <v>0</v>
      </c>
      <c r="F1031" s="3148">
        <v>57</v>
      </c>
      <c r="G1031" s="3149">
        <v>57</v>
      </c>
      <c r="H1031" s="3193">
        <f t="shared" si="111"/>
        <v>1</v>
      </c>
    </row>
    <row r="1032" spans="1:8" s="444" customFormat="1" ht="15" customHeight="1">
      <c r="A1032" s="477"/>
      <c r="B1032" s="479"/>
      <c r="C1032" s="3226" t="s">
        <v>866</v>
      </c>
      <c r="D1032" s="3227" t="s">
        <v>844</v>
      </c>
      <c r="E1032" s="3148">
        <v>0</v>
      </c>
      <c r="F1032" s="3148">
        <v>20280</v>
      </c>
      <c r="G1032" s="3149">
        <v>20280</v>
      </c>
      <c r="H1032" s="3193">
        <f t="shared" si="111"/>
        <v>1</v>
      </c>
    </row>
    <row r="1033" spans="1:8" s="444" customFormat="1" ht="15" customHeight="1">
      <c r="A1033" s="477"/>
      <c r="B1033" s="479"/>
      <c r="C1033" s="3226" t="s">
        <v>867</v>
      </c>
      <c r="D1033" s="3227" t="s">
        <v>844</v>
      </c>
      <c r="E1033" s="3148">
        <v>0</v>
      </c>
      <c r="F1033" s="3148">
        <v>3783</v>
      </c>
      <c r="G1033" s="3149">
        <v>3783</v>
      </c>
      <c r="H1033" s="3193">
        <f t="shared" si="111"/>
        <v>1</v>
      </c>
    </row>
    <row r="1034" spans="1:8" s="444" customFormat="1" ht="15" customHeight="1">
      <c r="A1034" s="477"/>
      <c r="B1034" s="479"/>
      <c r="C1034" s="3228"/>
      <c r="D1034" s="3229"/>
      <c r="E1034" s="3148"/>
      <c r="F1034" s="3148"/>
      <c r="G1034" s="3149"/>
      <c r="H1034" s="3193"/>
    </row>
    <row r="1035" spans="1:8" s="444" customFormat="1" ht="15" customHeight="1">
      <c r="A1035" s="477"/>
      <c r="B1035" s="479"/>
      <c r="C1035" s="5135" t="s">
        <v>603</v>
      </c>
      <c r="D1035" s="5135"/>
      <c r="E1035" s="3230">
        <f>E1036</f>
        <v>26880</v>
      </c>
      <c r="F1035" s="3230">
        <f t="shared" ref="F1035:G1035" si="112">F1036</f>
        <v>26880</v>
      </c>
      <c r="G1035" s="3231">
        <f t="shared" si="112"/>
        <v>26876.9</v>
      </c>
      <c r="H1035" s="3199">
        <f t="shared" si="111"/>
        <v>0.99988467261904768</v>
      </c>
    </row>
    <row r="1036" spans="1:8" s="444" customFormat="1" ht="15" customHeight="1">
      <c r="A1036" s="477"/>
      <c r="B1036" s="479"/>
      <c r="C1036" s="5136" t="s">
        <v>604</v>
      </c>
      <c r="D1036" s="5137"/>
      <c r="E1036" s="3148">
        <f>SUM(E1037:E1037)</f>
        <v>26880</v>
      </c>
      <c r="F1036" s="3148">
        <f t="shared" ref="F1036:G1036" si="113">SUM(F1037:F1037)</f>
        <v>26880</v>
      </c>
      <c r="G1036" s="3149">
        <f t="shared" si="113"/>
        <v>26876.9</v>
      </c>
      <c r="H1036" s="3193">
        <f t="shared" si="111"/>
        <v>0.99988467261904768</v>
      </c>
    </row>
    <row r="1037" spans="1:8" s="444" customFormat="1" ht="15" customHeight="1" thickBot="1">
      <c r="A1037" s="501"/>
      <c r="B1037" s="502"/>
      <c r="C1037" s="599" t="s">
        <v>354</v>
      </c>
      <c r="D1037" s="625" t="s">
        <v>605</v>
      </c>
      <c r="E1037" s="503">
        <v>26880</v>
      </c>
      <c r="F1037" s="503">
        <v>26880</v>
      </c>
      <c r="G1037" s="702">
        <v>26876.9</v>
      </c>
      <c r="H1037" s="2245">
        <f t="shared" si="111"/>
        <v>0.99988467261904768</v>
      </c>
    </row>
    <row r="1038" spans="1:8" s="444" customFormat="1" ht="39" thickBot="1">
      <c r="A1038" s="500"/>
      <c r="B1038" s="484" t="s">
        <v>392</v>
      </c>
      <c r="C1038" s="2049"/>
      <c r="D1038" s="2050" t="s">
        <v>869</v>
      </c>
      <c r="E1038" s="527">
        <f>SUM(E1039)</f>
        <v>0</v>
      </c>
      <c r="F1038" s="527">
        <f t="shared" ref="F1038:G1040" si="114">SUM(F1039)</f>
        <v>14236</v>
      </c>
      <c r="G1038" s="536">
        <f t="shared" si="114"/>
        <v>13842.55</v>
      </c>
      <c r="H1038" s="699">
        <f t="shared" si="111"/>
        <v>0.97236232087665064</v>
      </c>
    </row>
    <row r="1039" spans="1:8" s="444" customFormat="1" ht="15" customHeight="1">
      <c r="A1039" s="477"/>
      <c r="B1039" s="479"/>
      <c r="C1039" s="5109" t="s">
        <v>567</v>
      </c>
      <c r="D1039" s="5109"/>
      <c r="E1039" s="486">
        <f>SUM(E1040)</f>
        <v>0</v>
      </c>
      <c r="F1039" s="486">
        <f t="shared" si="114"/>
        <v>14236</v>
      </c>
      <c r="G1039" s="605">
        <f t="shared" si="114"/>
        <v>13842.55</v>
      </c>
      <c r="H1039" s="3199">
        <f t="shared" si="111"/>
        <v>0.97236232087665064</v>
      </c>
    </row>
    <row r="1040" spans="1:8" s="444" customFormat="1" ht="15" customHeight="1">
      <c r="A1040" s="477"/>
      <c r="B1040" s="479"/>
      <c r="C1040" s="5124" t="s">
        <v>568</v>
      </c>
      <c r="D1040" s="5124"/>
      <c r="E1040" s="3148">
        <f>SUM(E1041)</f>
        <v>0</v>
      </c>
      <c r="F1040" s="3148">
        <f t="shared" si="114"/>
        <v>14236</v>
      </c>
      <c r="G1040" s="3149">
        <f t="shared" si="114"/>
        <v>13842.55</v>
      </c>
      <c r="H1040" s="3193">
        <f t="shared" si="111"/>
        <v>0.97236232087665064</v>
      </c>
    </row>
    <row r="1041" spans="1:8" s="444" customFormat="1" ht="15" customHeight="1">
      <c r="A1041" s="477"/>
      <c r="B1041" s="479"/>
      <c r="C1041" s="5128" t="s">
        <v>577</v>
      </c>
      <c r="D1041" s="5128"/>
      <c r="E1041" s="3153">
        <f>SUM(E1042:E1043)</f>
        <v>0</v>
      </c>
      <c r="F1041" s="3153">
        <f t="shared" ref="F1041:G1041" si="115">SUM(F1042:F1043)</f>
        <v>14236</v>
      </c>
      <c r="G1041" s="3154">
        <f t="shared" si="115"/>
        <v>13842.55</v>
      </c>
      <c r="H1041" s="3201">
        <f t="shared" si="111"/>
        <v>0.97236232087665064</v>
      </c>
    </row>
    <row r="1042" spans="1:8" s="444" customFormat="1" ht="15" customHeight="1">
      <c r="A1042" s="477"/>
      <c r="B1042" s="479"/>
      <c r="C1042" s="3226" t="s">
        <v>332</v>
      </c>
      <c r="D1042" s="3227" t="s">
        <v>847</v>
      </c>
      <c r="E1042" s="3148">
        <v>0</v>
      </c>
      <c r="F1042" s="3148">
        <v>14095</v>
      </c>
      <c r="G1042" s="3149">
        <v>13842.55</v>
      </c>
      <c r="H1042" s="3193">
        <f t="shared" si="111"/>
        <v>0.98208939340191548</v>
      </c>
    </row>
    <row r="1043" spans="1:8" s="444" customFormat="1" ht="15" customHeight="1" thickBot="1">
      <c r="A1043" s="477"/>
      <c r="B1043" s="479"/>
      <c r="C1043" s="3233" t="s">
        <v>312</v>
      </c>
      <c r="D1043" s="3234" t="s">
        <v>584</v>
      </c>
      <c r="E1043" s="3148">
        <v>0</v>
      </c>
      <c r="F1043" s="3148">
        <v>141</v>
      </c>
      <c r="G1043" s="3149">
        <v>0</v>
      </c>
      <c r="H1043" s="3193">
        <f t="shared" si="111"/>
        <v>0</v>
      </c>
    </row>
    <row r="1044" spans="1:8" s="444" customFormat="1" ht="17.25" customHeight="1" thickBot="1">
      <c r="A1044" s="477"/>
      <c r="B1044" s="484" t="s">
        <v>391</v>
      </c>
      <c r="C1044" s="2049"/>
      <c r="D1044" s="2050" t="s">
        <v>44</v>
      </c>
      <c r="E1044" s="485">
        <f>SUM(E1045,E1098)</f>
        <v>3180799</v>
      </c>
      <c r="F1044" s="485">
        <f>SUM(F1045,F1098)</f>
        <v>7480736</v>
      </c>
      <c r="G1044" s="534">
        <f>SUM(G1045,G1098)</f>
        <v>4640082.9799999995</v>
      </c>
      <c r="H1044" s="699">
        <f t="shared" si="111"/>
        <v>0.62027091719317451</v>
      </c>
    </row>
    <row r="1045" spans="1:8" s="444" customFormat="1" ht="17.25" customHeight="1">
      <c r="A1045" s="477"/>
      <c r="B1045" s="2966"/>
      <c r="C1045" s="5122" t="s">
        <v>567</v>
      </c>
      <c r="D1045" s="5123"/>
      <c r="E1045" s="2565">
        <f>SUM(E1046,E1059,E1065,E1070)</f>
        <v>3180799</v>
      </c>
      <c r="F1045" s="2565">
        <f>SUM(F1046,F1059,F1065,F1070)</f>
        <v>7387673</v>
      </c>
      <c r="G1045" s="2566">
        <f>SUM(G1046,G1059,G1065,G1070)</f>
        <v>4605848.4399999995</v>
      </c>
      <c r="H1045" s="3199">
        <f t="shared" si="111"/>
        <v>0.62345050193748419</v>
      </c>
    </row>
    <row r="1046" spans="1:8" s="444" customFormat="1" ht="17.25" customHeight="1">
      <c r="A1046" s="477"/>
      <c r="B1046" s="479"/>
      <c r="C1046" s="5124" t="s">
        <v>568</v>
      </c>
      <c r="D1046" s="5125"/>
      <c r="E1046" s="3148">
        <f>SUM(E1047,E1053)</f>
        <v>937583</v>
      </c>
      <c r="F1046" s="3148">
        <f>SUM(F1047,F1053)</f>
        <v>1448684</v>
      </c>
      <c r="G1046" s="3149">
        <f>SUM(G1047,G1053)</f>
        <v>1423504.97</v>
      </c>
      <c r="H1046" s="3193">
        <f t="shared" si="111"/>
        <v>0.9826193773107178</v>
      </c>
    </row>
    <row r="1047" spans="1:8" s="444" customFormat="1" ht="17.25" customHeight="1">
      <c r="A1047" s="477"/>
      <c r="B1047" s="479"/>
      <c r="C1047" s="5126" t="s">
        <v>569</v>
      </c>
      <c r="D1047" s="5127"/>
      <c r="E1047" s="3153">
        <f>SUM(E1048:E1051)</f>
        <v>4400</v>
      </c>
      <c r="F1047" s="3153">
        <f t="shared" ref="F1047:G1047" si="116">SUM(F1048:F1051)</f>
        <v>159009</v>
      </c>
      <c r="G1047" s="3154">
        <f t="shared" si="116"/>
        <v>156969</v>
      </c>
      <c r="H1047" s="3201">
        <f t="shared" si="111"/>
        <v>0.98717053751674433</v>
      </c>
    </row>
    <row r="1048" spans="1:8" s="444" customFormat="1" ht="16.5" customHeight="1">
      <c r="A1048" s="479"/>
      <c r="B1048" s="479"/>
      <c r="C1048" s="3235" t="s">
        <v>319</v>
      </c>
      <c r="D1048" s="3219" t="s">
        <v>575</v>
      </c>
      <c r="E1048" s="3148">
        <v>4400</v>
      </c>
      <c r="F1048" s="3148">
        <v>4400</v>
      </c>
      <c r="G1048" s="3149">
        <v>2360</v>
      </c>
      <c r="H1048" s="3193">
        <f t="shared" si="111"/>
        <v>0.53636363636363638</v>
      </c>
    </row>
    <row r="1049" spans="1:8" s="444" customFormat="1" ht="28.5" customHeight="1">
      <c r="A1049" s="477"/>
      <c r="B1049" s="479"/>
      <c r="C1049" s="3232" t="s">
        <v>870</v>
      </c>
      <c r="D1049" s="3236" t="s">
        <v>871</v>
      </c>
      <c r="E1049" s="481">
        <v>0</v>
      </c>
      <c r="F1049" s="481">
        <v>20050</v>
      </c>
      <c r="G1049" s="604">
        <v>20050</v>
      </c>
      <c r="H1049" s="3193">
        <f t="shared" si="111"/>
        <v>1</v>
      </c>
    </row>
    <row r="1050" spans="1:8" s="444" customFormat="1" ht="27.75" customHeight="1">
      <c r="A1050" s="477"/>
      <c r="B1050" s="479"/>
      <c r="C1050" s="3237" t="s">
        <v>872</v>
      </c>
      <c r="D1050" s="3236" t="s">
        <v>873</v>
      </c>
      <c r="E1050" s="3148">
        <v>0</v>
      </c>
      <c r="F1050" s="3148">
        <v>109266</v>
      </c>
      <c r="G1050" s="3149">
        <v>109266</v>
      </c>
      <c r="H1050" s="3193">
        <f t="shared" si="111"/>
        <v>1</v>
      </c>
    </row>
    <row r="1051" spans="1:8" s="444" customFormat="1" ht="27.75" customHeight="1">
      <c r="A1051" s="477"/>
      <c r="B1051" s="479"/>
      <c r="C1051" s="3237" t="s">
        <v>874</v>
      </c>
      <c r="D1051" s="3236" t="s">
        <v>875</v>
      </c>
      <c r="E1051" s="3148">
        <v>0</v>
      </c>
      <c r="F1051" s="3148">
        <v>25293</v>
      </c>
      <c r="G1051" s="3149">
        <v>25293</v>
      </c>
      <c r="H1051" s="3193">
        <f t="shared" si="111"/>
        <v>1</v>
      </c>
    </row>
    <row r="1052" spans="1:8" s="444" customFormat="1" ht="15" customHeight="1">
      <c r="A1052" s="477"/>
      <c r="B1052" s="479"/>
      <c r="C1052" s="526"/>
      <c r="D1052" s="1116"/>
      <c r="E1052" s="3148"/>
      <c r="F1052" s="3148"/>
      <c r="G1052" s="3149"/>
      <c r="H1052" s="3193"/>
    </row>
    <row r="1053" spans="1:8" s="444" customFormat="1" ht="15" customHeight="1">
      <c r="A1053" s="477"/>
      <c r="B1053" s="479"/>
      <c r="C1053" s="5128" t="s">
        <v>577</v>
      </c>
      <c r="D1053" s="5129"/>
      <c r="E1053" s="3153">
        <f>SUM(E1054:E1057)</f>
        <v>933183</v>
      </c>
      <c r="F1053" s="3153">
        <f>SUM(F1054:F1057)</f>
        <v>1289675</v>
      </c>
      <c r="G1053" s="3154">
        <f>SUM(G1054:G1057)</f>
        <v>1266535.97</v>
      </c>
      <c r="H1053" s="3193">
        <f t="shared" ref="H1053:H1057" si="117">G1053/F1053</f>
        <v>0.98205824723282997</v>
      </c>
    </row>
    <row r="1054" spans="1:8" s="444" customFormat="1" ht="15" customHeight="1">
      <c r="A1054" s="477"/>
      <c r="B1054" s="479"/>
      <c r="C1054" s="3226" t="s">
        <v>313</v>
      </c>
      <c r="D1054" s="3238" t="s">
        <v>579</v>
      </c>
      <c r="E1054" s="3148">
        <v>152000</v>
      </c>
      <c r="F1054" s="3148">
        <v>152000</v>
      </c>
      <c r="G1054" s="3149">
        <v>137553</v>
      </c>
      <c r="H1054" s="3193">
        <f t="shared" si="117"/>
        <v>0.90495394736842105</v>
      </c>
    </row>
    <row r="1055" spans="1:8" s="444" customFormat="1" ht="15" customHeight="1">
      <c r="A1055" s="477"/>
      <c r="B1055" s="479"/>
      <c r="C1055" s="3226" t="s">
        <v>312</v>
      </c>
      <c r="D1055" s="3238" t="s">
        <v>584</v>
      </c>
      <c r="E1055" s="3148">
        <v>31100</v>
      </c>
      <c r="F1055" s="3148">
        <v>31100</v>
      </c>
      <c r="G1055" s="3149">
        <v>22500</v>
      </c>
      <c r="H1055" s="3193">
        <f t="shared" si="117"/>
        <v>0.72347266881028938</v>
      </c>
    </row>
    <row r="1056" spans="1:8" s="444" customFormat="1" ht="28.5" customHeight="1">
      <c r="A1056" s="477"/>
      <c r="B1056" s="479"/>
      <c r="C1056" s="3226" t="s">
        <v>876</v>
      </c>
      <c r="D1056" s="3236" t="s">
        <v>877</v>
      </c>
      <c r="E1056" s="3148">
        <v>0</v>
      </c>
      <c r="F1056" s="3148">
        <v>349990</v>
      </c>
      <c r="G1056" s="3149">
        <v>349990</v>
      </c>
      <c r="H1056" s="3193">
        <f t="shared" si="117"/>
        <v>1</v>
      </c>
    </row>
    <row r="1057" spans="1:10" s="444" customFormat="1" ht="15" customHeight="1">
      <c r="A1057" s="479"/>
      <c r="B1057" s="479"/>
      <c r="C1057" s="3235" t="s">
        <v>324</v>
      </c>
      <c r="D1057" s="3239" t="s">
        <v>593</v>
      </c>
      <c r="E1057" s="3240">
        <v>750083</v>
      </c>
      <c r="F1057" s="3240">
        <v>756585</v>
      </c>
      <c r="G1057" s="3241">
        <v>756492.97</v>
      </c>
      <c r="H1057" s="3193">
        <f t="shared" si="117"/>
        <v>0.99987836132093544</v>
      </c>
    </row>
    <row r="1058" spans="1:10" ht="15" customHeight="1">
      <c r="A1058" s="517"/>
      <c r="B1058" s="522"/>
      <c r="C1058" s="561"/>
      <c r="D1058" s="606"/>
      <c r="E1058" s="482"/>
      <c r="F1058" s="482"/>
      <c r="G1058" s="483"/>
      <c r="H1058" s="3242"/>
    </row>
    <row r="1059" spans="1:10" s="444" customFormat="1" ht="15" customHeight="1">
      <c r="A1059" s="477"/>
      <c r="B1059" s="479"/>
      <c r="C1059" s="5130" t="s">
        <v>640</v>
      </c>
      <c r="D1059" s="5131"/>
      <c r="E1059" s="3240">
        <f>SUM(E1060:E1063)</f>
        <v>629504</v>
      </c>
      <c r="F1059" s="3240">
        <f>SUM(F1060:F1063)</f>
        <v>3804016</v>
      </c>
      <c r="G1059" s="3241">
        <f>SUM(G1060:G1063)</f>
        <v>1629921.33</v>
      </c>
      <c r="H1059" s="3193">
        <f t="shared" ref="H1059:H1063" si="118">G1059/F1059</f>
        <v>0.42847383659795335</v>
      </c>
    </row>
    <row r="1060" spans="1:10" s="444" customFormat="1" ht="55.5" customHeight="1" thickBot="1">
      <c r="A1060" s="501"/>
      <c r="B1060" s="502"/>
      <c r="C1060" s="3243" t="s">
        <v>611</v>
      </c>
      <c r="D1060" s="3244" t="s">
        <v>653</v>
      </c>
      <c r="E1060" s="503">
        <v>611361</v>
      </c>
      <c r="F1060" s="503">
        <v>2321941</v>
      </c>
      <c r="G1060" s="702">
        <v>1282844.79</v>
      </c>
      <c r="H1060" s="2245">
        <f t="shared" si="118"/>
        <v>0.5524881080096351</v>
      </c>
      <c r="J1060" s="444" t="s">
        <v>654</v>
      </c>
    </row>
    <row r="1061" spans="1:10" s="444" customFormat="1" ht="54" customHeight="1">
      <c r="A1061" s="500"/>
      <c r="B1061" s="2966"/>
      <c r="C1061" s="3246" t="s">
        <v>138</v>
      </c>
      <c r="D1061" s="3247" t="s">
        <v>612</v>
      </c>
      <c r="E1061" s="2292">
        <v>18143</v>
      </c>
      <c r="F1061" s="2292">
        <v>1446718</v>
      </c>
      <c r="G1061" s="2435">
        <v>311722.74</v>
      </c>
      <c r="H1061" s="2063">
        <f t="shared" si="118"/>
        <v>0.21546890271635522</v>
      </c>
      <c r="J1061" s="444" t="s">
        <v>654</v>
      </c>
    </row>
    <row r="1062" spans="1:10" s="444" customFormat="1" ht="54" customHeight="1">
      <c r="A1062" s="477"/>
      <c r="B1062" s="479"/>
      <c r="C1062" s="3237" t="s">
        <v>91</v>
      </c>
      <c r="D1062" s="3248" t="s">
        <v>649</v>
      </c>
      <c r="E1062" s="3148">
        <v>0</v>
      </c>
      <c r="F1062" s="3148">
        <v>15000</v>
      </c>
      <c r="G1062" s="3149">
        <v>15000</v>
      </c>
      <c r="H1062" s="3193">
        <f t="shared" si="118"/>
        <v>1</v>
      </c>
    </row>
    <row r="1063" spans="1:10" s="444" customFormat="1" ht="15" customHeight="1">
      <c r="A1063" s="477"/>
      <c r="B1063" s="479"/>
      <c r="C1063" s="3245" t="s">
        <v>211</v>
      </c>
      <c r="D1063" s="3249" t="s">
        <v>656</v>
      </c>
      <c r="E1063" s="3148">
        <v>0</v>
      </c>
      <c r="F1063" s="3148">
        <v>20357</v>
      </c>
      <c r="G1063" s="3149">
        <v>20353.8</v>
      </c>
      <c r="H1063" s="3193">
        <f t="shared" si="118"/>
        <v>0.99984280591442742</v>
      </c>
    </row>
    <row r="1064" spans="1:10" s="444" customFormat="1" ht="15" customHeight="1">
      <c r="A1064" s="477"/>
      <c r="B1064" s="479"/>
      <c r="C1064" s="3195"/>
      <c r="D1064" s="3250"/>
      <c r="E1064" s="3148"/>
      <c r="F1064" s="3148"/>
      <c r="G1064" s="3149"/>
      <c r="H1064" s="3193"/>
    </row>
    <row r="1065" spans="1:10" s="444" customFormat="1" ht="15" customHeight="1">
      <c r="A1065" s="479"/>
      <c r="B1065" s="479"/>
      <c r="C1065" s="5132" t="s">
        <v>773</v>
      </c>
      <c r="D1065" s="5133"/>
      <c r="E1065" s="481">
        <f>SUM(E1066:E1068)</f>
        <v>685000</v>
      </c>
      <c r="F1065" s="481">
        <f>SUM(F1066:F1068)</f>
        <v>807500</v>
      </c>
      <c r="G1065" s="604">
        <f>SUM(G1066:G1068)</f>
        <v>789200</v>
      </c>
      <c r="H1065" s="3193">
        <f>G1065/F1065</f>
        <v>0.97733746130030963</v>
      </c>
    </row>
    <row r="1066" spans="1:10" s="444" customFormat="1" ht="15" customHeight="1">
      <c r="A1066" s="477"/>
      <c r="B1066" s="479"/>
      <c r="C1066" s="3226" t="s">
        <v>321</v>
      </c>
      <c r="D1066" s="3238" t="s">
        <v>602</v>
      </c>
      <c r="E1066" s="3148">
        <v>0</v>
      </c>
      <c r="F1066" s="3148">
        <v>39600</v>
      </c>
      <c r="G1066" s="3149">
        <v>38200</v>
      </c>
      <c r="H1066" s="3193">
        <f>G1066/F1066</f>
        <v>0.96464646464646464</v>
      </c>
    </row>
    <row r="1067" spans="1:10" s="444" customFormat="1" ht="15" customHeight="1">
      <c r="A1067" s="477"/>
      <c r="B1067" s="479"/>
      <c r="C1067" s="3226" t="s">
        <v>848</v>
      </c>
      <c r="D1067" s="3238" t="s">
        <v>849</v>
      </c>
      <c r="E1067" s="3148">
        <v>185000</v>
      </c>
      <c r="F1067" s="3148">
        <v>267900</v>
      </c>
      <c r="G1067" s="3149">
        <v>267800</v>
      </c>
      <c r="H1067" s="3193">
        <f>G1067/F1067</f>
        <v>0.99962672639044414</v>
      </c>
    </row>
    <row r="1068" spans="1:10" s="444" customFormat="1" ht="15" customHeight="1">
      <c r="A1068" s="477"/>
      <c r="B1068" s="479"/>
      <c r="C1068" s="3226" t="s">
        <v>856</v>
      </c>
      <c r="D1068" s="3238" t="s">
        <v>857</v>
      </c>
      <c r="E1068" s="3148">
        <v>500000</v>
      </c>
      <c r="F1068" s="3148">
        <v>500000</v>
      </c>
      <c r="G1068" s="3149">
        <v>483200</v>
      </c>
      <c r="H1068" s="3193">
        <f>G1068/F1068</f>
        <v>0.96640000000000004</v>
      </c>
    </row>
    <row r="1069" spans="1:10" s="444" customFormat="1" ht="15" customHeight="1">
      <c r="A1069" s="477"/>
      <c r="B1069" s="479"/>
      <c r="C1069" s="3251"/>
      <c r="D1069" s="3252"/>
      <c r="E1069" s="3148"/>
      <c r="F1069" s="3148"/>
      <c r="G1069" s="3149"/>
      <c r="H1069" s="3193"/>
    </row>
    <row r="1070" spans="1:10" s="444" customFormat="1" ht="15" customHeight="1">
      <c r="A1070" s="479"/>
      <c r="B1070" s="479"/>
      <c r="C1070" s="5146" t="s">
        <v>608</v>
      </c>
      <c r="D1070" s="5147"/>
      <c r="E1070" s="481">
        <f>SUM(E1071:E1096)</f>
        <v>928712</v>
      </c>
      <c r="F1070" s="481">
        <f t="shared" ref="F1070:G1070" si="119">SUM(F1071:F1096)</f>
        <v>1327473</v>
      </c>
      <c r="G1070" s="604">
        <f t="shared" si="119"/>
        <v>763222.1399999999</v>
      </c>
      <c r="H1070" s="3193">
        <f t="shared" ref="H1070:H1096" si="120">G1070/F1070</f>
        <v>0.57494362597205362</v>
      </c>
    </row>
    <row r="1071" spans="1:10" s="444" customFormat="1" ht="57" customHeight="1">
      <c r="A1071" s="477"/>
      <c r="B1071" s="479"/>
      <c r="C1071" s="3253" t="s">
        <v>547</v>
      </c>
      <c r="D1071" s="3254" t="s">
        <v>653</v>
      </c>
      <c r="E1071" s="481">
        <v>0</v>
      </c>
      <c r="F1071" s="481">
        <v>136780</v>
      </c>
      <c r="G1071" s="604">
        <v>136780.26</v>
      </c>
      <c r="H1071" s="3193">
        <f t="shared" si="120"/>
        <v>1.0000019008626992</v>
      </c>
    </row>
    <row r="1072" spans="1:10" s="444" customFormat="1" ht="15" customHeight="1">
      <c r="A1072" s="477"/>
      <c r="B1072" s="479"/>
      <c r="C1072" s="3237" t="s">
        <v>878</v>
      </c>
      <c r="D1072" s="3238" t="s">
        <v>571</v>
      </c>
      <c r="E1072" s="3148">
        <v>87200</v>
      </c>
      <c r="F1072" s="3148">
        <v>96133</v>
      </c>
      <c r="G1072" s="3149">
        <v>15483</v>
      </c>
      <c r="H1072" s="3193">
        <f t="shared" si="120"/>
        <v>0.16105811739985229</v>
      </c>
    </row>
    <row r="1073" spans="1:8" s="444" customFormat="1" ht="15" customHeight="1">
      <c r="A1073" s="477"/>
      <c r="B1073" s="479"/>
      <c r="C1073" s="3237" t="s">
        <v>722</v>
      </c>
      <c r="D1073" s="3238" t="s">
        <v>571</v>
      </c>
      <c r="E1073" s="3148">
        <v>0</v>
      </c>
      <c r="F1073" s="3148">
        <v>167630</v>
      </c>
      <c r="G1073" s="3149">
        <v>50334.84</v>
      </c>
      <c r="H1073" s="3193">
        <f t="shared" si="120"/>
        <v>0.30027345940464117</v>
      </c>
    </row>
    <row r="1074" spans="1:8" s="444" customFormat="1" ht="15" customHeight="1">
      <c r="A1074" s="477"/>
      <c r="B1074" s="479"/>
      <c r="C1074" s="3237" t="s">
        <v>614</v>
      </c>
      <c r="D1074" s="3238" t="s">
        <v>571</v>
      </c>
      <c r="E1074" s="3148">
        <v>0</v>
      </c>
      <c r="F1074" s="3148">
        <v>2835</v>
      </c>
      <c r="G1074" s="3149">
        <v>2119.16</v>
      </c>
      <c r="H1074" s="3193">
        <f t="shared" si="120"/>
        <v>0.74749911816578474</v>
      </c>
    </row>
    <row r="1075" spans="1:8" s="444" customFormat="1" ht="15" customHeight="1">
      <c r="A1075" s="477"/>
      <c r="B1075" s="479"/>
      <c r="C1075" s="3237" t="s">
        <v>879</v>
      </c>
      <c r="D1075" s="3238" t="s">
        <v>573</v>
      </c>
      <c r="E1075" s="3148">
        <v>15300</v>
      </c>
      <c r="F1075" s="3148">
        <v>19884</v>
      </c>
      <c r="G1075" s="3149">
        <v>4864.5200000000004</v>
      </c>
      <c r="H1075" s="3193">
        <f t="shared" si="120"/>
        <v>0.24464494065580369</v>
      </c>
    </row>
    <row r="1076" spans="1:8" s="444" customFormat="1" ht="15" customHeight="1">
      <c r="A1076" s="477"/>
      <c r="B1076" s="479"/>
      <c r="C1076" s="3237" t="s">
        <v>723</v>
      </c>
      <c r="D1076" s="3238" t="s">
        <v>573</v>
      </c>
      <c r="E1076" s="3148">
        <v>0</v>
      </c>
      <c r="F1076" s="3148">
        <v>28816</v>
      </c>
      <c r="G1076" s="3149">
        <v>8652.6</v>
      </c>
      <c r="H1076" s="3193">
        <f t="shared" si="120"/>
        <v>0.30027068295391451</v>
      </c>
    </row>
    <row r="1077" spans="1:8" s="444" customFormat="1" ht="15" customHeight="1">
      <c r="A1077" s="477"/>
      <c r="B1077" s="479"/>
      <c r="C1077" s="3237" t="s">
        <v>618</v>
      </c>
      <c r="D1077" s="3238" t="s">
        <v>573</v>
      </c>
      <c r="E1077" s="3148">
        <v>0</v>
      </c>
      <c r="F1077" s="3148">
        <v>487</v>
      </c>
      <c r="G1077" s="3149">
        <v>364.28</v>
      </c>
      <c r="H1077" s="3193">
        <f t="shared" si="120"/>
        <v>0.74800821355236136</v>
      </c>
    </row>
    <row r="1078" spans="1:8" s="444" customFormat="1" ht="15" customHeight="1">
      <c r="A1078" s="477"/>
      <c r="B1078" s="479"/>
      <c r="C1078" s="3237" t="s">
        <v>880</v>
      </c>
      <c r="D1078" s="3225" t="s">
        <v>574</v>
      </c>
      <c r="E1078" s="3148">
        <v>2181</v>
      </c>
      <c r="F1078" s="3148">
        <v>2671</v>
      </c>
      <c r="G1078" s="3149">
        <v>529.26</v>
      </c>
      <c r="H1078" s="3193">
        <f t="shared" si="120"/>
        <v>0.1981505054286784</v>
      </c>
    </row>
    <row r="1079" spans="1:8" s="444" customFormat="1" ht="15" customHeight="1">
      <c r="A1079" s="477"/>
      <c r="B1079" s="479"/>
      <c r="C1079" s="3237" t="s">
        <v>724</v>
      </c>
      <c r="D1079" s="3225" t="s">
        <v>574</v>
      </c>
      <c r="E1079" s="3148">
        <v>0</v>
      </c>
      <c r="F1079" s="3148">
        <v>4107</v>
      </c>
      <c r="G1079" s="3149">
        <v>1233.21</v>
      </c>
      <c r="H1079" s="3193">
        <f t="shared" si="120"/>
        <v>0.30027027027027026</v>
      </c>
    </row>
    <row r="1080" spans="1:8" s="444" customFormat="1" ht="15" customHeight="1">
      <c r="A1080" s="477"/>
      <c r="B1080" s="479"/>
      <c r="C1080" s="3237" t="s">
        <v>620</v>
      </c>
      <c r="D1080" s="3225" t="s">
        <v>574</v>
      </c>
      <c r="E1080" s="3148">
        <v>0</v>
      </c>
      <c r="F1080" s="3148">
        <v>69</v>
      </c>
      <c r="G1080" s="3149">
        <v>51.91</v>
      </c>
      <c r="H1080" s="3193">
        <f t="shared" si="120"/>
        <v>0.7523188405797101</v>
      </c>
    </row>
    <row r="1081" spans="1:8" s="444" customFormat="1" ht="15" customHeight="1">
      <c r="A1081" s="477"/>
      <c r="B1081" s="479"/>
      <c r="C1081" s="3237" t="s">
        <v>881</v>
      </c>
      <c r="D1081" s="3255" t="s">
        <v>575</v>
      </c>
      <c r="E1081" s="3148">
        <v>0</v>
      </c>
      <c r="F1081" s="3148">
        <v>8483</v>
      </c>
      <c r="G1081" s="3149">
        <v>3422.2</v>
      </c>
      <c r="H1081" s="3193">
        <f t="shared" si="120"/>
        <v>0.40341860190970175</v>
      </c>
    </row>
    <row r="1082" spans="1:8" s="444" customFormat="1" ht="15" customHeight="1">
      <c r="A1082" s="477"/>
      <c r="B1082" s="479"/>
      <c r="C1082" s="3256" t="s">
        <v>882</v>
      </c>
      <c r="D1082" s="3238" t="s">
        <v>579</v>
      </c>
      <c r="E1082" s="3148">
        <v>3799</v>
      </c>
      <c r="F1082" s="3148">
        <v>23225</v>
      </c>
      <c r="G1082" s="3149">
        <v>9278.64</v>
      </c>
      <c r="H1082" s="3193">
        <f t="shared" si="120"/>
        <v>0.39951087190527446</v>
      </c>
    </row>
    <row r="1083" spans="1:8" s="444" customFormat="1" ht="15" customHeight="1">
      <c r="A1083" s="477"/>
      <c r="B1083" s="479"/>
      <c r="C1083" s="3256" t="s">
        <v>708</v>
      </c>
      <c r="D1083" s="3238" t="s">
        <v>579</v>
      </c>
      <c r="E1083" s="3148">
        <v>0</v>
      </c>
      <c r="F1083" s="3148">
        <v>41490</v>
      </c>
      <c r="G1083" s="3149">
        <v>19453.84</v>
      </c>
      <c r="H1083" s="3193">
        <f t="shared" si="120"/>
        <v>0.46888021209930103</v>
      </c>
    </row>
    <row r="1084" spans="1:8" s="444" customFormat="1" ht="15" customHeight="1">
      <c r="A1084" s="477"/>
      <c r="B1084" s="479"/>
      <c r="C1084" s="3256" t="s">
        <v>627</v>
      </c>
      <c r="D1084" s="3238" t="s">
        <v>579</v>
      </c>
      <c r="E1084" s="3148">
        <v>0</v>
      </c>
      <c r="F1084" s="3148">
        <v>5035</v>
      </c>
      <c r="G1084" s="3149">
        <v>819.02</v>
      </c>
      <c r="H1084" s="3193">
        <f t="shared" si="120"/>
        <v>0.16266534260178747</v>
      </c>
    </row>
    <row r="1085" spans="1:8" s="444" customFormat="1" ht="15" customHeight="1" thickBot="1">
      <c r="A1085" s="501"/>
      <c r="B1085" s="502"/>
      <c r="C1085" s="3257" t="s">
        <v>883</v>
      </c>
      <c r="D1085" s="3258" t="s">
        <v>580</v>
      </c>
      <c r="E1085" s="503">
        <v>0</v>
      </c>
      <c r="F1085" s="503">
        <v>3565</v>
      </c>
      <c r="G1085" s="702">
        <v>2439.29</v>
      </c>
      <c r="H1085" s="2245">
        <f t="shared" si="120"/>
        <v>0.68423281907433375</v>
      </c>
    </row>
    <row r="1086" spans="1:8" s="444" customFormat="1" ht="15" customHeight="1">
      <c r="A1086" s="500"/>
      <c r="B1086" s="2966"/>
      <c r="C1086" s="3246" t="s">
        <v>884</v>
      </c>
      <c r="D1086" s="3185" t="s">
        <v>584</v>
      </c>
      <c r="E1086" s="2292">
        <v>786352</v>
      </c>
      <c r="F1086" s="2292">
        <v>706603</v>
      </c>
      <c r="G1086" s="2435">
        <v>459737.69</v>
      </c>
      <c r="H1086" s="2063">
        <f t="shared" si="120"/>
        <v>0.65063082098434344</v>
      </c>
    </row>
    <row r="1087" spans="1:8" s="444" customFormat="1" ht="15" customHeight="1">
      <c r="A1087" s="477"/>
      <c r="B1087" s="479"/>
      <c r="C1087" s="3256" t="s">
        <v>726</v>
      </c>
      <c r="D1087" s="3238" t="s">
        <v>584</v>
      </c>
      <c r="E1087" s="3148">
        <v>0</v>
      </c>
      <c r="F1087" s="3148">
        <v>10500</v>
      </c>
      <c r="G1087" s="3149">
        <v>0</v>
      </c>
      <c r="H1087" s="3193">
        <f t="shared" si="120"/>
        <v>0</v>
      </c>
    </row>
    <row r="1088" spans="1:8" s="444" customFormat="1" ht="15" customHeight="1">
      <c r="A1088" s="477"/>
      <c r="B1088" s="479"/>
      <c r="C1088" s="3256" t="s">
        <v>631</v>
      </c>
      <c r="D1088" s="3238" t="s">
        <v>584</v>
      </c>
      <c r="E1088" s="3148">
        <v>0</v>
      </c>
      <c r="F1088" s="3148">
        <v>2415</v>
      </c>
      <c r="G1088" s="3149">
        <v>0</v>
      </c>
      <c r="H1088" s="3193">
        <f t="shared" si="120"/>
        <v>0</v>
      </c>
    </row>
    <row r="1089" spans="1:10" s="444" customFormat="1" ht="15" customHeight="1">
      <c r="A1089" s="477"/>
      <c r="B1089" s="479"/>
      <c r="C1089" s="3256" t="s">
        <v>885</v>
      </c>
      <c r="D1089" s="3238" t="s">
        <v>742</v>
      </c>
      <c r="E1089" s="3148">
        <v>0</v>
      </c>
      <c r="F1089" s="3148">
        <v>3055</v>
      </c>
      <c r="G1089" s="3149">
        <v>3055</v>
      </c>
      <c r="H1089" s="3193">
        <f t="shared" si="120"/>
        <v>1</v>
      </c>
    </row>
    <row r="1090" spans="1:10" s="444" customFormat="1" ht="15" customHeight="1">
      <c r="A1090" s="477"/>
      <c r="B1090" s="479"/>
      <c r="C1090" s="3256" t="s">
        <v>886</v>
      </c>
      <c r="D1090" s="3259" t="s">
        <v>589</v>
      </c>
      <c r="E1090" s="3148">
        <v>0</v>
      </c>
      <c r="F1090" s="3148">
        <v>31</v>
      </c>
      <c r="G1090" s="3149">
        <v>31</v>
      </c>
      <c r="H1090" s="3193">
        <f t="shared" si="120"/>
        <v>1</v>
      </c>
    </row>
    <row r="1091" spans="1:10" s="444" customFormat="1" ht="15" customHeight="1">
      <c r="A1091" s="477"/>
      <c r="B1091" s="479"/>
      <c r="C1091" s="3256" t="s">
        <v>887</v>
      </c>
      <c r="D1091" s="3227" t="s">
        <v>591</v>
      </c>
      <c r="E1091" s="3148">
        <v>22051</v>
      </c>
      <c r="F1091" s="3148">
        <v>30191</v>
      </c>
      <c r="G1091" s="3149">
        <v>29908.240000000002</v>
      </c>
      <c r="H1091" s="3193">
        <f t="shared" si="120"/>
        <v>0.99063429498857281</v>
      </c>
    </row>
    <row r="1092" spans="1:10" s="444" customFormat="1" ht="15" customHeight="1">
      <c r="A1092" s="477"/>
      <c r="B1092" s="479"/>
      <c r="C1092" s="3260" t="s">
        <v>888</v>
      </c>
      <c r="D1092" s="3225" t="s">
        <v>592</v>
      </c>
      <c r="E1092" s="3148">
        <v>8800</v>
      </c>
      <c r="F1092" s="3148">
        <v>9555</v>
      </c>
      <c r="G1092" s="3149">
        <v>915.49</v>
      </c>
      <c r="H1092" s="3193">
        <f t="shared" si="120"/>
        <v>9.581266352694924E-2</v>
      </c>
    </row>
    <row r="1093" spans="1:10" s="444" customFormat="1" ht="15" customHeight="1">
      <c r="A1093" s="477"/>
      <c r="B1093" s="479"/>
      <c r="C1093" s="3261" t="s">
        <v>889</v>
      </c>
      <c r="D1093" s="3205" t="s">
        <v>576</v>
      </c>
      <c r="E1093" s="3262">
        <v>1226</v>
      </c>
      <c r="F1093" s="3262">
        <v>1454</v>
      </c>
      <c r="G1093" s="3263">
        <v>108.39</v>
      </c>
      <c r="H1093" s="3193">
        <f t="shared" si="120"/>
        <v>7.4546079779917465E-2</v>
      </c>
    </row>
    <row r="1094" spans="1:10" s="444" customFormat="1" ht="15" customHeight="1">
      <c r="A1094" s="477"/>
      <c r="B1094" s="479"/>
      <c r="C1094" s="3261" t="s">
        <v>730</v>
      </c>
      <c r="D1094" s="3205" t="s">
        <v>576</v>
      </c>
      <c r="E1094" s="3262">
        <v>0</v>
      </c>
      <c r="F1094" s="3262">
        <v>2514</v>
      </c>
      <c r="G1094" s="3263">
        <v>426.84</v>
      </c>
      <c r="H1094" s="3193">
        <f t="shared" si="120"/>
        <v>0.16978520286396181</v>
      </c>
    </row>
    <row r="1095" spans="1:10" s="444" customFormat="1" ht="15" customHeight="1">
      <c r="A1095" s="477"/>
      <c r="B1095" s="479"/>
      <c r="C1095" s="3261" t="s">
        <v>639</v>
      </c>
      <c r="D1095" s="3205" t="s">
        <v>576</v>
      </c>
      <c r="E1095" s="3262">
        <v>0</v>
      </c>
      <c r="F1095" s="3262">
        <v>43</v>
      </c>
      <c r="G1095" s="3263">
        <v>17.96</v>
      </c>
      <c r="H1095" s="3193">
        <f t="shared" si="120"/>
        <v>0.41767441860465121</v>
      </c>
    </row>
    <row r="1096" spans="1:10" s="444" customFormat="1" ht="15" customHeight="1">
      <c r="A1096" s="477"/>
      <c r="B1096" s="479"/>
      <c r="C1096" s="3261" t="s">
        <v>890</v>
      </c>
      <c r="D1096" s="3264" t="s">
        <v>844</v>
      </c>
      <c r="E1096" s="3262">
        <v>1803</v>
      </c>
      <c r="F1096" s="3262">
        <v>19902</v>
      </c>
      <c r="G1096" s="3263">
        <v>13195.5</v>
      </c>
      <c r="H1096" s="3193">
        <f t="shared" si="120"/>
        <v>0.66302381670183896</v>
      </c>
    </row>
    <row r="1097" spans="1:10" s="444" customFormat="1" ht="15" customHeight="1">
      <c r="A1097" s="477"/>
      <c r="B1097" s="479"/>
      <c r="C1097" s="526"/>
      <c r="D1097" s="1116"/>
      <c r="E1097" s="481"/>
      <c r="F1097" s="481"/>
      <c r="G1097" s="604"/>
      <c r="H1097" s="3193"/>
    </row>
    <row r="1098" spans="1:10" s="444" customFormat="1" ht="15" customHeight="1">
      <c r="A1098" s="477"/>
      <c r="B1098" s="479"/>
      <c r="C1098" s="5148" t="s">
        <v>603</v>
      </c>
      <c r="D1098" s="5149"/>
      <c r="E1098" s="3265">
        <f>SUM(E1099)</f>
        <v>0</v>
      </c>
      <c r="F1098" s="3265">
        <f>SUM(F1099)</f>
        <v>93063</v>
      </c>
      <c r="G1098" s="3266">
        <f>SUM(G1099)</f>
        <v>34234.54</v>
      </c>
      <c r="H1098" s="3199">
        <f t="shared" ref="H1098:H1108" si="121">G1098/F1098</f>
        <v>0.36786413504830062</v>
      </c>
    </row>
    <row r="1099" spans="1:10" s="444" customFormat="1" ht="15" customHeight="1">
      <c r="A1099" s="477"/>
      <c r="B1099" s="479"/>
      <c r="C1099" s="5150" t="s">
        <v>604</v>
      </c>
      <c r="D1099" s="5151"/>
      <c r="E1099" s="3262">
        <f>SUM(E1100:E1102)</f>
        <v>0</v>
      </c>
      <c r="F1099" s="3262">
        <f>SUM(F1100:F1102)</f>
        <v>93063</v>
      </c>
      <c r="G1099" s="3263">
        <f>SUM(G1100:G1102)</f>
        <v>34234.54</v>
      </c>
      <c r="H1099" s="3193">
        <f t="shared" si="121"/>
        <v>0.36786413504830062</v>
      </c>
    </row>
    <row r="1100" spans="1:10" ht="56.25" customHeight="1">
      <c r="A1100" s="517"/>
      <c r="B1100" s="522"/>
      <c r="C1100" s="3267" t="s">
        <v>309</v>
      </c>
      <c r="D1100" s="2973" t="s">
        <v>676</v>
      </c>
      <c r="E1100" s="481">
        <v>0</v>
      </c>
      <c r="F1100" s="481">
        <v>78017</v>
      </c>
      <c r="G1100" s="604">
        <v>19192.03</v>
      </c>
      <c r="H1100" s="3193">
        <f t="shared" si="121"/>
        <v>0.24599805170667929</v>
      </c>
      <c r="J1100" s="444" t="s">
        <v>654</v>
      </c>
    </row>
    <row r="1101" spans="1:10" s="444" customFormat="1" ht="42" customHeight="1">
      <c r="A1101" s="477"/>
      <c r="B1101" s="479"/>
      <c r="C1101" s="3268" t="s">
        <v>310</v>
      </c>
      <c r="D1101" s="3269" t="s">
        <v>693</v>
      </c>
      <c r="E1101" s="3262">
        <v>0</v>
      </c>
      <c r="F1101" s="3262">
        <v>12000</v>
      </c>
      <c r="G1101" s="3263">
        <v>12000</v>
      </c>
      <c r="H1101" s="3193">
        <f t="shared" si="121"/>
        <v>1</v>
      </c>
    </row>
    <row r="1102" spans="1:10" ht="28.5" customHeight="1" thickBot="1">
      <c r="A1102" s="535"/>
      <c r="B1102" s="539"/>
      <c r="C1102" s="599" t="s">
        <v>212</v>
      </c>
      <c r="D1102" s="607" t="s">
        <v>678</v>
      </c>
      <c r="E1102" s="608">
        <v>0</v>
      </c>
      <c r="F1102" s="608">
        <v>3046</v>
      </c>
      <c r="G1102" s="1309">
        <v>3042.51</v>
      </c>
      <c r="H1102" s="2245">
        <f t="shared" si="121"/>
        <v>0.99885423506237692</v>
      </c>
    </row>
    <row r="1103" spans="1:10" s="506" customFormat="1" ht="15" customHeight="1" thickBot="1">
      <c r="A1103" s="2335" t="s">
        <v>390</v>
      </c>
      <c r="B1103" s="2335"/>
      <c r="C1103" s="2337"/>
      <c r="D1103" s="2338" t="s">
        <v>891</v>
      </c>
      <c r="E1103" s="504">
        <f>SUM(E1104,E1117,E1122,E1126,E1134,E1142,E1146,E1158,E1162,E1178,E1192)</f>
        <v>173071038</v>
      </c>
      <c r="F1103" s="504">
        <f t="shared" ref="F1103:G1103" si="122">SUM(F1104,F1117,F1122,F1126,F1134,F1142,F1146,F1158,F1162,F1178,F1192)</f>
        <v>181004934</v>
      </c>
      <c r="G1103" s="505">
        <f t="shared" si="122"/>
        <v>163735805</v>
      </c>
      <c r="H1103" s="1112">
        <f t="shared" si="121"/>
        <v>0.90459304827568954</v>
      </c>
      <c r="J1103" s="444"/>
    </row>
    <row r="1104" spans="1:10" s="444" customFormat="1" ht="15" customHeight="1" thickBot="1">
      <c r="A1104" s="477"/>
      <c r="B1104" s="2633" t="s">
        <v>389</v>
      </c>
      <c r="C1104" s="3152"/>
      <c r="D1104" s="3096" t="s">
        <v>214</v>
      </c>
      <c r="E1104" s="485">
        <f>SUM(E1105,E1113)</f>
        <v>132102570</v>
      </c>
      <c r="F1104" s="485">
        <f>SUM(F1105,F1113)</f>
        <v>84441169</v>
      </c>
      <c r="G1104" s="534">
        <f>SUM(G1105,G1113)</f>
        <v>82393453.739999995</v>
      </c>
      <c r="H1104" s="699">
        <f t="shared" si="121"/>
        <v>0.97574979972150777</v>
      </c>
    </row>
    <row r="1105" spans="1:10" s="506" customFormat="1" ht="15" customHeight="1">
      <c r="A1105" s="512"/>
      <c r="B1105" s="609"/>
      <c r="C1105" s="5152" t="s">
        <v>567</v>
      </c>
      <c r="D1105" s="5153"/>
      <c r="E1105" s="2564">
        <f>SUM(E1106,E1110)</f>
        <v>2119261</v>
      </c>
      <c r="F1105" s="2564">
        <f t="shared" ref="F1105:G1105" si="123">SUM(F1106,F1110)</f>
        <v>8788831</v>
      </c>
      <c r="G1105" s="3270">
        <f t="shared" si="123"/>
        <v>8720648.8499999996</v>
      </c>
      <c r="H1105" s="3199">
        <f t="shared" si="121"/>
        <v>0.99224218215141469</v>
      </c>
      <c r="J1105" s="444"/>
    </row>
    <row r="1106" spans="1:10" s="506" customFormat="1" ht="15" customHeight="1">
      <c r="A1106" s="512"/>
      <c r="B1106" s="609"/>
      <c r="C1106" s="5154" t="s">
        <v>568</v>
      </c>
      <c r="D1106" s="5155"/>
      <c r="E1106" s="610">
        <f>SUM(E1107)</f>
        <v>0</v>
      </c>
      <c r="F1106" s="610">
        <f t="shared" ref="F1106:G1107" si="124">SUM(F1107)</f>
        <v>6137425</v>
      </c>
      <c r="G1106" s="611">
        <f t="shared" si="124"/>
        <v>6137424.2800000003</v>
      </c>
      <c r="H1106" s="3193">
        <f t="shared" si="121"/>
        <v>0.9999998826869575</v>
      </c>
      <c r="J1106" s="444"/>
    </row>
    <row r="1107" spans="1:10" s="506" customFormat="1" ht="15" customHeight="1">
      <c r="A1107" s="512"/>
      <c r="B1107" s="609"/>
      <c r="C1107" s="5156" t="s">
        <v>577</v>
      </c>
      <c r="D1107" s="5157"/>
      <c r="E1107" s="3271">
        <f>SUM(E1108)</f>
        <v>0</v>
      </c>
      <c r="F1107" s="3271">
        <f t="shared" si="124"/>
        <v>6137425</v>
      </c>
      <c r="G1107" s="3272">
        <f t="shared" si="124"/>
        <v>6137424.2800000003</v>
      </c>
      <c r="H1107" s="3193">
        <f t="shared" si="121"/>
        <v>0.9999998826869575</v>
      </c>
      <c r="J1107" s="444"/>
    </row>
    <row r="1108" spans="1:10" s="506" customFormat="1" ht="25.5">
      <c r="A1108" s="512"/>
      <c r="B1108" s="609"/>
      <c r="C1108" s="3273" t="s">
        <v>892</v>
      </c>
      <c r="D1108" s="3274" t="s">
        <v>893</v>
      </c>
      <c r="E1108" s="560">
        <v>0</v>
      </c>
      <c r="F1108" s="481">
        <v>6137425</v>
      </c>
      <c r="G1108" s="604">
        <v>6137424.2800000003</v>
      </c>
      <c r="H1108" s="3193">
        <f t="shared" si="121"/>
        <v>0.9999998826869575</v>
      </c>
      <c r="J1108" s="444"/>
    </row>
    <row r="1109" spans="1:10" s="506" customFormat="1" ht="15" customHeight="1">
      <c r="A1109" s="512"/>
      <c r="B1109" s="609"/>
      <c r="C1109" s="512"/>
      <c r="D1109" s="612"/>
      <c r="E1109" s="610"/>
      <c r="F1109" s="471"/>
      <c r="G1109" s="472"/>
      <c r="H1109" s="3242"/>
      <c r="J1109" s="444"/>
    </row>
    <row r="1110" spans="1:10" s="506" customFormat="1" ht="15" customHeight="1">
      <c r="A1110" s="512"/>
      <c r="B1110" s="609"/>
      <c r="C1110" s="5138" t="s">
        <v>894</v>
      </c>
      <c r="D1110" s="5139"/>
      <c r="E1110" s="3271">
        <f>SUM(E1111)</f>
        <v>2119261</v>
      </c>
      <c r="F1110" s="3275">
        <f>SUM(F1111)</f>
        <v>2651406</v>
      </c>
      <c r="G1110" s="3276">
        <f>SUM(G1111)</f>
        <v>2583224.5699999998</v>
      </c>
      <c r="H1110" s="3193">
        <f>G1110/F1110</f>
        <v>0.9742848021012247</v>
      </c>
      <c r="J1110" s="444"/>
    </row>
    <row r="1111" spans="1:10" s="506" customFormat="1" ht="26.25" thickBot="1">
      <c r="A1111" s="565"/>
      <c r="B1111" s="3277"/>
      <c r="C1111" s="3278" t="s">
        <v>895</v>
      </c>
      <c r="D1111" s="3279" t="s">
        <v>896</v>
      </c>
      <c r="E1111" s="567">
        <v>2119261</v>
      </c>
      <c r="F1111" s="503">
        <v>2651406</v>
      </c>
      <c r="G1111" s="702">
        <v>2583224.5699999998</v>
      </c>
      <c r="H1111" s="2245">
        <f>G1111/F1111</f>
        <v>0.9742848021012247</v>
      </c>
      <c r="J1111" s="444" t="s">
        <v>701</v>
      </c>
    </row>
    <row r="1112" spans="1:10" s="506" customFormat="1" ht="15" customHeight="1">
      <c r="A1112" s="507"/>
      <c r="B1112" s="3280"/>
      <c r="C1112" s="3281"/>
      <c r="D1112" s="3282"/>
      <c r="E1112" s="2826"/>
      <c r="F1112" s="2293"/>
      <c r="G1112" s="2294"/>
      <c r="H1112" s="2295"/>
      <c r="J1112" s="444"/>
    </row>
    <row r="1113" spans="1:10" s="506" customFormat="1" ht="15" customHeight="1">
      <c r="A1113" s="512"/>
      <c r="B1113" s="609"/>
      <c r="C1113" s="5140" t="s">
        <v>603</v>
      </c>
      <c r="D1113" s="5141"/>
      <c r="E1113" s="3283">
        <f>SUM(E1114)</f>
        <v>129983309</v>
      </c>
      <c r="F1113" s="3230">
        <f>SUM(F1114)</f>
        <v>75652338</v>
      </c>
      <c r="G1113" s="3231">
        <f>SUM(G1114)</f>
        <v>73672804.890000001</v>
      </c>
      <c r="H1113" s="3199">
        <f t="shared" ref="H1113:H1127" si="125">G1113/F1113</f>
        <v>0.97383381449493345</v>
      </c>
      <c r="J1113" s="444"/>
    </row>
    <row r="1114" spans="1:10" s="506" customFormat="1" ht="15" customHeight="1">
      <c r="A1114" s="512"/>
      <c r="B1114" s="609"/>
      <c r="C1114" s="5142" t="s">
        <v>604</v>
      </c>
      <c r="D1114" s="5143"/>
      <c r="E1114" s="3285">
        <f>SUM(E1115:E1116)</f>
        <v>129983309</v>
      </c>
      <c r="F1114" s="3148">
        <f>SUM(F1115:F1116)</f>
        <v>75652338</v>
      </c>
      <c r="G1114" s="3149">
        <f>SUM(G1115:G1116)</f>
        <v>73672804.890000001</v>
      </c>
      <c r="H1114" s="3193">
        <f t="shared" si="125"/>
        <v>0.97383381449493345</v>
      </c>
      <c r="J1114" s="444"/>
    </row>
    <row r="1115" spans="1:10" s="506" customFormat="1" ht="52.5" customHeight="1">
      <c r="A1115" s="512"/>
      <c r="B1115" s="613"/>
      <c r="C1115" s="3286" t="s">
        <v>805</v>
      </c>
      <c r="D1115" s="3284" t="s">
        <v>675</v>
      </c>
      <c r="E1115" s="3285">
        <v>11191126</v>
      </c>
      <c r="F1115" s="3148">
        <v>64138</v>
      </c>
      <c r="G1115" s="3149">
        <v>0</v>
      </c>
      <c r="H1115" s="3193">
        <f t="shared" si="125"/>
        <v>0</v>
      </c>
      <c r="J1115" s="444" t="s">
        <v>654</v>
      </c>
    </row>
    <row r="1116" spans="1:10" s="506" customFormat="1" ht="39" thickBot="1">
      <c r="A1116" s="512"/>
      <c r="B1116" s="614"/>
      <c r="C1116" s="3287" t="s">
        <v>338</v>
      </c>
      <c r="D1116" s="3288" t="s">
        <v>731</v>
      </c>
      <c r="E1116" s="3285">
        <f>108792183+10000000</f>
        <v>118792183</v>
      </c>
      <c r="F1116" s="3148">
        <v>75588200</v>
      </c>
      <c r="G1116" s="3149">
        <v>73672804.890000001</v>
      </c>
      <c r="H1116" s="3193">
        <f t="shared" si="125"/>
        <v>0.97466013068177304</v>
      </c>
      <c r="J1116" s="444" t="s">
        <v>701</v>
      </c>
    </row>
    <row r="1117" spans="1:10" ht="15" customHeight="1" thickBot="1">
      <c r="A1117" s="517"/>
      <c r="B1117" s="508" t="s">
        <v>897</v>
      </c>
      <c r="C1117" s="2344"/>
      <c r="D1117" s="2345" t="s">
        <v>898</v>
      </c>
      <c r="E1117" s="527">
        <f>SUM(E1118)</f>
        <v>0</v>
      </c>
      <c r="F1117" s="527">
        <f t="shared" ref="F1117:G1117" si="126">SUM(F1118)</f>
        <v>29349579</v>
      </c>
      <c r="G1117" s="536">
        <f t="shared" si="126"/>
        <v>23824192.440000001</v>
      </c>
      <c r="H1117" s="699">
        <f t="shared" si="125"/>
        <v>0.81173881369814538</v>
      </c>
    </row>
    <row r="1118" spans="1:10" ht="15" customHeight="1">
      <c r="A1118" s="517"/>
      <c r="B1118" s="614"/>
      <c r="C1118" s="5144" t="s">
        <v>603</v>
      </c>
      <c r="D1118" s="5145"/>
      <c r="E1118" s="3283">
        <f>SUM(E1119)</f>
        <v>0</v>
      </c>
      <c r="F1118" s="3230">
        <f>SUM(F1119)</f>
        <v>29349579</v>
      </c>
      <c r="G1118" s="3231">
        <f>SUM(G1119)</f>
        <v>23824192.440000001</v>
      </c>
      <c r="H1118" s="3199">
        <f t="shared" si="125"/>
        <v>0.81173881369814538</v>
      </c>
    </row>
    <row r="1119" spans="1:10" ht="15" customHeight="1">
      <c r="A1119" s="517"/>
      <c r="B1119" s="614"/>
      <c r="C1119" s="5142" t="s">
        <v>604</v>
      </c>
      <c r="D1119" s="5143"/>
      <c r="E1119" s="3285">
        <f>SUM(E1120:E1121)</f>
        <v>0</v>
      </c>
      <c r="F1119" s="3148">
        <f>SUM(F1120:F1121)</f>
        <v>29349579</v>
      </c>
      <c r="G1119" s="3149">
        <f>SUM(G1120:G1121)</f>
        <v>23824192.440000001</v>
      </c>
      <c r="H1119" s="3193">
        <f t="shared" si="125"/>
        <v>0.81173881369814538</v>
      </c>
    </row>
    <row r="1120" spans="1:10" ht="54.75" customHeight="1">
      <c r="A1120" s="517"/>
      <c r="B1120" s="614"/>
      <c r="C1120" s="3286" t="s">
        <v>805</v>
      </c>
      <c r="D1120" s="3284" t="s">
        <v>675</v>
      </c>
      <c r="E1120" s="3289">
        <v>0</v>
      </c>
      <c r="F1120" s="3289">
        <v>6034636</v>
      </c>
      <c r="G1120" s="3290">
        <v>6034635.4100000001</v>
      </c>
      <c r="H1120" s="3193">
        <f t="shared" si="125"/>
        <v>0.99999990223105417</v>
      </c>
    </row>
    <row r="1121" spans="1:10" ht="41.25" customHeight="1" thickBot="1">
      <c r="A1121" s="517"/>
      <c r="B1121" s="614"/>
      <c r="C1121" s="3287" t="s">
        <v>338</v>
      </c>
      <c r="D1121" s="3288" t="s">
        <v>731</v>
      </c>
      <c r="E1121" s="3289">
        <v>0</v>
      </c>
      <c r="F1121" s="3289">
        <v>23314943</v>
      </c>
      <c r="G1121" s="3290">
        <v>17789557.030000001</v>
      </c>
      <c r="H1121" s="701">
        <f t="shared" si="125"/>
        <v>0.76301095953783804</v>
      </c>
    </row>
    <row r="1122" spans="1:10" ht="15" customHeight="1" thickBot="1">
      <c r="A1122" s="517"/>
      <c r="B1122" s="508" t="s">
        <v>899</v>
      </c>
      <c r="C1122" s="2344"/>
      <c r="D1122" s="2345" t="s">
        <v>900</v>
      </c>
      <c r="E1122" s="527">
        <f>SUM(E1123)</f>
        <v>0</v>
      </c>
      <c r="F1122" s="527">
        <f t="shared" ref="F1122:G1122" si="127">SUM(F1123)</f>
        <v>4000000</v>
      </c>
      <c r="G1122" s="536">
        <f t="shared" si="127"/>
        <v>4000000</v>
      </c>
      <c r="H1122" s="699">
        <f t="shared" si="125"/>
        <v>1</v>
      </c>
    </row>
    <row r="1123" spans="1:10" ht="15" customHeight="1">
      <c r="A1123" s="517"/>
      <c r="B1123" s="614"/>
      <c r="C1123" s="5144" t="s">
        <v>603</v>
      </c>
      <c r="D1123" s="5145"/>
      <c r="E1123" s="3230">
        <f>SUM(E1124)</f>
        <v>0</v>
      </c>
      <c r="F1123" s="3230">
        <f>SUM(F1124)</f>
        <v>4000000</v>
      </c>
      <c r="G1123" s="3231">
        <f>SUM(G1124)</f>
        <v>4000000</v>
      </c>
      <c r="H1123" s="3199">
        <f t="shared" si="125"/>
        <v>1</v>
      </c>
    </row>
    <row r="1124" spans="1:10" ht="15" customHeight="1">
      <c r="A1124" s="517"/>
      <c r="B1124" s="614"/>
      <c r="C1124" s="5167" t="s">
        <v>901</v>
      </c>
      <c r="D1124" s="5168"/>
      <c r="E1124" s="3148">
        <f>SUM(E1125)</f>
        <v>0</v>
      </c>
      <c r="F1124" s="3148">
        <f t="shared" ref="F1124:G1124" si="128">SUM(F1125)</f>
        <v>4000000</v>
      </c>
      <c r="G1124" s="3149">
        <f t="shared" si="128"/>
        <v>4000000</v>
      </c>
      <c r="H1124" s="3193">
        <f t="shared" si="125"/>
        <v>1</v>
      </c>
    </row>
    <row r="1125" spans="1:10" ht="39" thickBot="1">
      <c r="A1125" s="517"/>
      <c r="B1125" s="614"/>
      <c r="C1125" s="3291" t="s">
        <v>902</v>
      </c>
      <c r="D1125" s="3292" t="s">
        <v>903</v>
      </c>
      <c r="E1125" s="3293">
        <v>0</v>
      </c>
      <c r="F1125" s="3293">
        <v>4000000</v>
      </c>
      <c r="G1125" s="3294">
        <v>4000000</v>
      </c>
      <c r="H1125" s="701">
        <f t="shared" si="125"/>
        <v>1</v>
      </c>
    </row>
    <row r="1126" spans="1:10" s="506" customFormat="1" ht="15" customHeight="1" thickBot="1">
      <c r="A1126" s="514"/>
      <c r="B1126" s="615" t="s">
        <v>904</v>
      </c>
      <c r="C1126" s="3295"/>
      <c r="D1126" s="3296" t="s">
        <v>216</v>
      </c>
      <c r="E1126" s="485">
        <f>SUM(E1127,E1131)</f>
        <v>10896205</v>
      </c>
      <c r="F1126" s="485">
        <f>SUM(F1127,F1131)</f>
        <v>11992010</v>
      </c>
      <c r="G1126" s="534">
        <f>SUM(G1127,G1131)</f>
        <v>10802314.539999999</v>
      </c>
      <c r="H1126" s="699">
        <f t="shared" si="125"/>
        <v>0.90079265611019332</v>
      </c>
      <c r="J1126" s="444" t="s">
        <v>701</v>
      </c>
    </row>
    <row r="1127" spans="1:10" s="506" customFormat="1" ht="15" customHeight="1">
      <c r="A1127" s="512"/>
      <c r="B1127" s="513"/>
      <c r="C1127" s="5169" t="s">
        <v>567</v>
      </c>
      <c r="D1127" s="5170"/>
      <c r="E1127" s="601">
        <f t="shared" ref="E1127:G1128" si="129">SUM(E1128)</f>
        <v>149808</v>
      </c>
      <c r="F1127" s="601">
        <f t="shared" si="129"/>
        <v>149808</v>
      </c>
      <c r="G1127" s="1082">
        <f t="shared" si="129"/>
        <v>148812</v>
      </c>
      <c r="H1127" s="3199">
        <f t="shared" si="125"/>
        <v>0.99335148990708111</v>
      </c>
      <c r="J1127" s="444"/>
    </row>
    <row r="1128" spans="1:10" s="506" customFormat="1" ht="15" customHeight="1">
      <c r="A1128" s="512"/>
      <c r="B1128" s="513"/>
      <c r="C1128" s="5158" t="s">
        <v>894</v>
      </c>
      <c r="D1128" s="5159"/>
      <c r="E1128" s="3298">
        <f t="shared" si="129"/>
        <v>149808</v>
      </c>
      <c r="F1128" s="3298">
        <f t="shared" si="129"/>
        <v>149808</v>
      </c>
      <c r="G1128" s="3299">
        <f t="shared" si="129"/>
        <v>148812</v>
      </c>
      <c r="H1128" s="3193">
        <f>G1128/F1128</f>
        <v>0.99335148990708111</v>
      </c>
      <c r="J1128" s="444"/>
    </row>
    <row r="1129" spans="1:10" s="506" customFormat="1" ht="25.5">
      <c r="A1129" s="512"/>
      <c r="B1129" s="513"/>
      <c r="C1129" s="3300" t="s">
        <v>895</v>
      </c>
      <c r="D1129" s="3297" t="s">
        <v>896</v>
      </c>
      <c r="E1129" s="3148">
        <v>149808</v>
      </c>
      <c r="F1129" s="3148">
        <v>149808</v>
      </c>
      <c r="G1129" s="3149">
        <v>148812</v>
      </c>
      <c r="H1129" s="3193">
        <f>G1129/F1129</f>
        <v>0.99335148990708111</v>
      </c>
      <c r="J1129" s="444"/>
    </row>
    <row r="1130" spans="1:10" s="506" customFormat="1" ht="15" customHeight="1" thickBot="1">
      <c r="A1130" s="565"/>
      <c r="B1130" s="616"/>
      <c r="C1130" s="3301"/>
      <c r="D1130" s="3302"/>
      <c r="E1130" s="503"/>
      <c r="F1130" s="503"/>
      <c r="G1130" s="702"/>
      <c r="H1130" s="2245"/>
      <c r="J1130" s="444"/>
    </row>
    <row r="1131" spans="1:10" s="506" customFormat="1" ht="15" customHeight="1">
      <c r="A1131" s="3303"/>
      <c r="B1131" s="3304"/>
      <c r="C1131" s="5171" t="s">
        <v>603</v>
      </c>
      <c r="D1131" s="5171"/>
      <c r="E1131" s="2565">
        <f t="shared" ref="E1131:G1132" si="130">SUM(E1132)</f>
        <v>10746397</v>
      </c>
      <c r="F1131" s="2565">
        <f t="shared" si="130"/>
        <v>11842202</v>
      </c>
      <c r="G1131" s="2566">
        <f t="shared" si="130"/>
        <v>10653502.539999999</v>
      </c>
      <c r="H1131" s="1978">
        <f t="shared" ref="H1131:H1137" si="131">G1131/F1131</f>
        <v>0.89962175446762338</v>
      </c>
      <c r="J1131" s="444"/>
    </row>
    <row r="1132" spans="1:10" s="506" customFormat="1" ht="15" customHeight="1">
      <c r="A1132" s="512"/>
      <c r="B1132" s="513"/>
      <c r="C1132" s="5172" t="s">
        <v>604</v>
      </c>
      <c r="D1132" s="5172"/>
      <c r="E1132" s="3293">
        <f t="shared" si="130"/>
        <v>10746397</v>
      </c>
      <c r="F1132" s="3293">
        <f t="shared" si="130"/>
        <v>11842202</v>
      </c>
      <c r="G1132" s="3294">
        <f t="shared" si="130"/>
        <v>10653502.539999999</v>
      </c>
      <c r="H1132" s="3193">
        <f t="shared" si="131"/>
        <v>0.89962175446762338</v>
      </c>
      <c r="J1132" s="444"/>
    </row>
    <row r="1133" spans="1:10" s="506" customFormat="1" ht="39" thickBot="1">
      <c r="A1133" s="512"/>
      <c r="B1133" s="616"/>
      <c r="C1133" s="3305" t="s">
        <v>338</v>
      </c>
      <c r="D1133" s="3306" t="s">
        <v>731</v>
      </c>
      <c r="E1133" s="503">
        <v>10746397</v>
      </c>
      <c r="F1133" s="503">
        <v>11842202</v>
      </c>
      <c r="G1133" s="702">
        <v>10653502.539999999</v>
      </c>
      <c r="H1133" s="701">
        <f t="shared" si="131"/>
        <v>0.89962175446762338</v>
      </c>
      <c r="J1133" s="444"/>
    </row>
    <row r="1134" spans="1:10" s="506" customFormat="1" ht="15" customHeight="1" thickBot="1">
      <c r="A1134" s="514"/>
      <c r="B1134" s="617" t="s">
        <v>905</v>
      </c>
      <c r="C1134" s="2344"/>
      <c r="D1134" s="2345" t="s">
        <v>906</v>
      </c>
      <c r="E1134" s="485">
        <f>SUM(E1135,E1139)</f>
        <v>3687015</v>
      </c>
      <c r="F1134" s="485">
        <f>SUM(F1135,F1139)</f>
        <v>3484005</v>
      </c>
      <c r="G1134" s="534">
        <f>SUM(G1135,G1139)</f>
        <v>3465017.54</v>
      </c>
      <c r="H1134" s="699">
        <f t="shared" si="131"/>
        <v>0.99455010541029654</v>
      </c>
      <c r="J1134" s="444" t="s">
        <v>701</v>
      </c>
    </row>
    <row r="1135" spans="1:10" s="506" customFormat="1" ht="15" customHeight="1">
      <c r="A1135" s="512"/>
      <c r="B1135" s="614"/>
      <c r="C1135" s="5169" t="s">
        <v>567</v>
      </c>
      <c r="D1135" s="5170"/>
      <c r="E1135" s="601">
        <f t="shared" ref="E1135:G1136" si="132">SUM(E1136)</f>
        <v>550000</v>
      </c>
      <c r="F1135" s="601">
        <f t="shared" si="132"/>
        <v>670000</v>
      </c>
      <c r="G1135" s="1082">
        <f t="shared" si="132"/>
        <v>669873.69999999995</v>
      </c>
      <c r="H1135" s="3199">
        <f t="shared" si="131"/>
        <v>0.99981149253731338</v>
      </c>
      <c r="J1135" s="444"/>
    </row>
    <row r="1136" spans="1:10" s="506" customFormat="1" ht="15" customHeight="1">
      <c r="A1136" s="512"/>
      <c r="B1136" s="614"/>
      <c r="C1136" s="5158" t="s">
        <v>894</v>
      </c>
      <c r="D1136" s="5159"/>
      <c r="E1136" s="3307">
        <f t="shared" si="132"/>
        <v>550000</v>
      </c>
      <c r="F1136" s="3307">
        <f t="shared" si="132"/>
        <v>670000</v>
      </c>
      <c r="G1136" s="3308">
        <f t="shared" si="132"/>
        <v>669873.69999999995</v>
      </c>
      <c r="H1136" s="3193">
        <f t="shared" si="131"/>
        <v>0.99981149253731338</v>
      </c>
      <c r="J1136" s="444"/>
    </row>
    <row r="1137" spans="1:10" s="506" customFormat="1" ht="25.5">
      <c r="A1137" s="512"/>
      <c r="B1137" s="614"/>
      <c r="C1137" s="3300" t="s">
        <v>895</v>
      </c>
      <c r="D1137" s="3297" t="s">
        <v>896</v>
      </c>
      <c r="E1137" s="3100">
        <v>550000</v>
      </c>
      <c r="F1137" s="3100">
        <v>670000</v>
      </c>
      <c r="G1137" s="3118">
        <v>669873.69999999995</v>
      </c>
      <c r="H1137" s="3193">
        <f t="shared" si="131"/>
        <v>0.99981149253731338</v>
      </c>
      <c r="J1137" s="444"/>
    </row>
    <row r="1138" spans="1:10" ht="15" customHeight="1">
      <c r="A1138" s="517"/>
      <c r="B1138" s="618"/>
      <c r="C1138" s="3309"/>
      <c r="D1138" s="3310"/>
      <c r="E1138" s="3100"/>
      <c r="F1138" s="3100"/>
      <c r="G1138" s="3118"/>
      <c r="H1138" s="3193"/>
    </row>
    <row r="1139" spans="1:10" s="506" customFormat="1" ht="15" customHeight="1">
      <c r="A1139" s="512"/>
      <c r="B1139" s="4830"/>
      <c r="C1139" s="5160" t="s">
        <v>603</v>
      </c>
      <c r="D1139" s="5161"/>
      <c r="E1139" s="486">
        <f t="shared" ref="E1139:G1140" si="133">SUM(E1140)</f>
        <v>3137015</v>
      </c>
      <c r="F1139" s="486">
        <f t="shared" si="133"/>
        <v>2814005</v>
      </c>
      <c r="G1139" s="605">
        <f t="shared" si="133"/>
        <v>2795143.84</v>
      </c>
      <c r="H1139" s="3199">
        <f t="shared" ref="H1139:H1150" si="134">G1139/F1139</f>
        <v>0.99329739641542925</v>
      </c>
      <c r="J1139" s="444"/>
    </row>
    <row r="1140" spans="1:10" s="506" customFormat="1" ht="15" customHeight="1">
      <c r="A1140" s="512"/>
      <c r="B1140" s="4830"/>
      <c r="C1140" s="5162" t="s">
        <v>604</v>
      </c>
      <c r="D1140" s="5162"/>
      <c r="E1140" s="3293">
        <f t="shared" si="133"/>
        <v>3137015</v>
      </c>
      <c r="F1140" s="3293">
        <f t="shared" si="133"/>
        <v>2814005</v>
      </c>
      <c r="G1140" s="3294">
        <f t="shared" si="133"/>
        <v>2795143.84</v>
      </c>
      <c r="H1140" s="3193">
        <f t="shared" si="134"/>
        <v>0.99329739641542925</v>
      </c>
      <c r="J1140" s="444"/>
    </row>
    <row r="1141" spans="1:10" s="506" customFormat="1" ht="39" thickBot="1">
      <c r="A1141" s="514"/>
      <c r="B1141" s="4831"/>
      <c r="C1141" s="3311" t="s">
        <v>338</v>
      </c>
      <c r="D1141" s="3312" t="s">
        <v>731</v>
      </c>
      <c r="E1141" s="503">
        <v>3137015</v>
      </c>
      <c r="F1141" s="503">
        <v>2814005</v>
      </c>
      <c r="G1141" s="702">
        <v>2795143.84</v>
      </c>
      <c r="H1141" s="701">
        <f t="shared" si="134"/>
        <v>0.99329739641542925</v>
      </c>
      <c r="J1141" s="444"/>
    </row>
    <row r="1142" spans="1:10" s="506" customFormat="1" ht="15" customHeight="1" thickBot="1">
      <c r="A1142" s="512"/>
      <c r="B1142" s="568" t="s">
        <v>388</v>
      </c>
      <c r="C1142" s="569"/>
      <c r="D1142" s="570" t="s">
        <v>217</v>
      </c>
      <c r="E1142" s="493">
        <f>SUM(E1143)</f>
        <v>2952636</v>
      </c>
      <c r="F1142" s="493">
        <f>SUM(F1143)</f>
        <v>4612449</v>
      </c>
      <c r="G1142" s="548">
        <f>SUM(G1143)</f>
        <v>4559243.29</v>
      </c>
      <c r="H1142" s="699">
        <f t="shared" si="134"/>
        <v>0.98846475917674104</v>
      </c>
      <c r="J1142" s="444" t="s">
        <v>701</v>
      </c>
    </row>
    <row r="1143" spans="1:10" s="506" customFormat="1" ht="15" customHeight="1">
      <c r="A1143" s="512"/>
      <c r="B1143" s="5163"/>
      <c r="C1143" s="5164" t="s">
        <v>603</v>
      </c>
      <c r="D1143" s="5164"/>
      <c r="E1143" s="486">
        <f t="shared" ref="E1143:G1144" si="135">SUM(E1144)</f>
        <v>2952636</v>
      </c>
      <c r="F1143" s="486">
        <f t="shared" si="135"/>
        <v>4612449</v>
      </c>
      <c r="G1143" s="605">
        <f t="shared" si="135"/>
        <v>4559243.29</v>
      </c>
      <c r="H1143" s="3199">
        <f t="shared" si="134"/>
        <v>0.98846475917674104</v>
      </c>
      <c r="J1143" s="444"/>
    </row>
    <row r="1144" spans="1:10" s="506" customFormat="1" ht="15" customHeight="1">
      <c r="A1144" s="512"/>
      <c r="B1144" s="5163"/>
      <c r="C1144" s="5165" t="s">
        <v>604</v>
      </c>
      <c r="D1144" s="5166"/>
      <c r="E1144" s="3100">
        <f t="shared" si="135"/>
        <v>2952636</v>
      </c>
      <c r="F1144" s="3100">
        <f t="shared" si="135"/>
        <v>4612449</v>
      </c>
      <c r="G1144" s="3118">
        <f t="shared" si="135"/>
        <v>4559243.29</v>
      </c>
      <c r="H1144" s="3193">
        <f t="shared" si="134"/>
        <v>0.98846475917674104</v>
      </c>
      <c r="J1144" s="444"/>
    </row>
    <row r="1145" spans="1:10" s="506" customFormat="1" ht="39" thickBot="1">
      <c r="A1145" s="512"/>
      <c r="B1145" s="5163"/>
      <c r="C1145" s="3313" t="s">
        <v>338</v>
      </c>
      <c r="D1145" s="3314" t="s">
        <v>731</v>
      </c>
      <c r="E1145" s="3100">
        <v>2952636</v>
      </c>
      <c r="F1145" s="3100">
        <v>4612449</v>
      </c>
      <c r="G1145" s="3118">
        <v>4559243.29</v>
      </c>
      <c r="H1145" s="701">
        <f t="shared" si="134"/>
        <v>0.98846475917674104</v>
      </c>
      <c r="J1145" s="444"/>
    </row>
    <row r="1146" spans="1:10" s="506" customFormat="1" ht="15" customHeight="1" thickBot="1">
      <c r="A1146" s="512"/>
      <c r="B1146" s="508" t="s">
        <v>907</v>
      </c>
      <c r="C1146" s="2344"/>
      <c r="D1146" s="2345" t="s">
        <v>219</v>
      </c>
      <c r="E1146" s="511">
        <f>SUM(E1147,E1155)</f>
        <v>4172331</v>
      </c>
      <c r="F1146" s="485">
        <f>SUM(F1147,F1155)</f>
        <v>4622331</v>
      </c>
      <c r="G1146" s="534">
        <f>SUM(G1147,G1155)</f>
        <v>4613374.4000000004</v>
      </c>
      <c r="H1146" s="699">
        <f t="shared" si="134"/>
        <v>0.99806231963916048</v>
      </c>
      <c r="J1146" s="444" t="s">
        <v>701</v>
      </c>
    </row>
    <row r="1147" spans="1:10" s="506" customFormat="1" ht="15" customHeight="1">
      <c r="A1147" s="512"/>
      <c r="B1147" s="514"/>
      <c r="C1147" s="5173" t="s">
        <v>567</v>
      </c>
      <c r="D1147" s="5173"/>
      <c r="E1147" s="486">
        <f>SUM(E1148,E1152)</f>
        <v>4057000</v>
      </c>
      <c r="F1147" s="486">
        <f>SUM(F1148,F1152)</f>
        <v>4507000</v>
      </c>
      <c r="G1147" s="605">
        <f>SUM(G1148,G1152)</f>
        <v>4507000</v>
      </c>
      <c r="H1147" s="3199">
        <f t="shared" si="134"/>
        <v>1</v>
      </c>
      <c r="J1147" s="444"/>
    </row>
    <row r="1148" spans="1:10" s="506" customFormat="1" ht="15" customHeight="1">
      <c r="A1148" s="512"/>
      <c r="B1148" s="514"/>
      <c r="C1148" s="5174" t="s">
        <v>568</v>
      </c>
      <c r="D1148" s="5174"/>
      <c r="E1148" s="3100">
        <f t="shared" ref="E1148:G1149" si="136">SUM(E1149)</f>
        <v>2457000</v>
      </c>
      <c r="F1148" s="3100">
        <f t="shared" si="136"/>
        <v>2457000</v>
      </c>
      <c r="G1148" s="3118">
        <f t="shared" si="136"/>
        <v>2457000</v>
      </c>
      <c r="H1148" s="3193">
        <f t="shared" si="134"/>
        <v>1</v>
      </c>
      <c r="J1148" s="444"/>
    </row>
    <row r="1149" spans="1:10" s="506" customFormat="1" ht="15" customHeight="1">
      <c r="A1149" s="512"/>
      <c r="B1149" s="5012"/>
      <c r="C1149" s="5175" t="s">
        <v>577</v>
      </c>
      <c r="D1149" s="5175"/>
      <c r="E1149" s="3104">
        <f t="shared" si="136"/>
        <v>2457000</v>
      </c>
      <c r="F1149" s="3104">
        <f t="shared" si="136"/>
        <v>2457000</v>
      </c>
      <c r="G1149" s="3119">
        <f t="shared" si="136"/>
        <v>2457000</v>
      </c>
      <c r="H1149" s="3193">
        <f t="shared" si="134"/>
        <v>1</v>
      </c>
      <c r="J1149" s="444"/>
    </row>
    <row r="1150" spans="1:10" s="506" customFormat="1" ht="15" customHeight="1">
      <c r="A1150" s="512"/>
      <c r="B1150" s="5012"/>
      <c r="C1150" s="3315" t="s">
        <v>329</v>
      </c>
      <c r="D1150" s="3316" t="s">
        <v>583</v>
      </c>
      <c r="E1150" s="3100">
        <v>2457000</v>
      </c>
      <c r="F1150" s="3100">
        <v>2457000</v>
      </c>
      <c r="G1150" s="3118">
        <v>2457000</v>
      </c>
      <c r="H1150" s="3193">
        <f t="shared" si="134"/>
        <v>1</v>
      </c>
      <c r="J1150" s="444"/>
    </row>
    <row r="1151" spans="1:10" s="506" customFormat="1" ht="15" customHeight="1">
      <c r="A1151" s="512"/>
      <c r="B1151" s="5012"/>
      <c r="C1151" s="559"/>
      <c r="D1151" s="559"/>
      <c r="E1151" s="3101"/>
      <c r="F1151" s="3126"/>
      <c r="G1151" s="3127"/>
      <c r="H1151" s="3242"/>
      <c r="J1151" s="444"/>
    </row>
    <row r="1152" spans="1:10" s="506" customFormat="1" ht="15" customHeight="1">
      <c r="A1152" s="512"/>
      <c r="B1152" s="5012"/>
      <c r="C1152" s="5162" t="s">
        <v>640</v>
      </c>
      <c r="D1152" s="5162"/>
      <c r="E1152" s="3100">
        <f>SUM(E1153)</f>
        <v>1600000</v>
      </c>
      <c r="F1152" s="3100">
        <f>SUM(F1153)</f>
        <v>2050000</v>
      </c>
      <c r="G1152" s="3118">
        <f>SUM(G1153)</f>
        <v>2050000</v>
      </c>
      <c r="H1152" s="3193">
        <f>G1152/F1152</f>
        <v>1</v>
      </c>
      <c r="J1152" s="444"/>
    </row>
    <row r="1153" spans="1:10" s="506" customFormat="1" ht="29.25" customHeight="1">
      <c r="A1153" s="512"/>
      <c r="B1153" s="5012"/>
      <c r="C1153" s="3315" t="s">
        <v>895</v>
      </c>
      <c r="D1153" s="3316" t="s">
        <v>896</v>
      </c>
      <c r="E1153" s="3100">
        <v>1600000</v>
      </c>
      <c r="F1153" s="3100">
        <v>2050000</v>
      </c>
      <c r="G1153" s="3118">
        <v>2050000</v>
      </c>
      <c r="H1153" s="3193">
        <f>G1153/F1153</f>
        <v>1</v>
      </c>
      <c r="J1153" s="444"/>
    </row>
    <row r="1154" spans="1:10" s="506" customFormat="1" ht="15" customHeight="1" thickBot="1">
      <c r="A1154" s="593"/>
      <c r="B1154" s="565"/>
      <c r="C1154" s="3317"/>
      <c r="D1154" s="3318"/>
      <c r="E1154" s="503"/>
      <c r="F1154" s="503"/>
      <c r="G1154" s="702"/>
      <c r="H1154" s="2245"/>
      <c r="J1154" s="444"/>
    </row>
    <row r="1155" spans="1:10" s="506" customFormat="1" ht="15" customHeight="1">
      <c r="A1155" s="507"/>
      <c r="B1155" s="3303"/>
      <c r="C1155" s="5171" t="s">
        <v>603</v>
      </c>
      <c r="D1155" s="5171"/>
      <c r="E1155" s="2565">
        <f t="shared" ref="E1155:G1156" si="137">SUM(E1156)</f>
        <v>115331</v>
      </c>
      <c r="F1155" s="2565">
        <f t="shared" si="137"/>
        <v>115331</v>
      </c>
      <c r="G1155" s="2566">
        <f t="shared" si="137"/>
        <v>106374.39999999999</v>
      </c>
      <c r="H1155" s="1978">
        <f t="shared" ref="H1155:H1168" si="138">G1155/F1155</f>
        <v>0.92234004734199815</v>
      </c>
      <c r="J1155" s="444"/>
    </row>
    <row r="1156" spans="1:10" s="506" customFormat="1" ht="15" customHeight="1">
      <c r="A1156" s="512"/>
      <c r="B1156" s="514"/>
      <c r="C1156" s="5165" t="s">
        <v>604</v>
      </c>
      <c r="D1156" s="5166"/>
      <c r="E1156" s="3100">
        <f t="shared" si="137"/>
        <v>115331</v>
      </c>
      <c r="F1156" s="3100">
        <f t="shared" si="137"/>
        <v>115331</v>
      </c>
      <c r="G1156" s="3118">
        <f t="shared" si="137"/>
        <v>106374.39999999999</v>
      </c>
      <c r="H1156" s="3193">
        <f t="shared" si="138"/>
        <v>0.92234004734199815</v>
      </c>
      <c r="J1156" s="444"/>
    </row>
    <row r="1157" spans="1:10" s="506" customFormat="1" ht="39" thickBot="1">
      <c r="A1157" s="514"/>
      <c r="B1157" s="565"/>
      <c r="C1157" s="3311" t="s">
        <v>338</v>
      </c>
      <c r="D1157" s="3312" t="s">
        <v>731</v>
      </c>
      <c r="E1157" s="503">
        <v>115331</v>
      </c>
      <c r="F1157" s="503">
        <v>115331</v>
      </c>
      <c r="G1157" s="702">
        <v>106374.39999999999</v>
      </c>
      <c r="H1157" s="701">
        <f t="shared" si="138"/>
        <v>0.92234004734199815</v>
      </c>
      <c r="J1157" s="444"/>
    </row>
    <row r="1158" spans="1:10" s="506" customFormat="1" ht="15" customHeight="1" thickBot="1">
      <c r="A1158" s="514"/>
      <c r="B1158" s="508" t="s">
        <v>387</v>
      </c>
      <c r="C1158" s="2344"/>
      <c r="D1158" s="2345" t="s">
        <v>220</v>
      </c>
      <c r="E1158" s="511">
        <f t="shared" ref="E1158:G1160" si="139">SUM(E1159)</f>
        <v>150000</v>
      </c>
      <c r="F1158" s="485">
        <f t="shared" si="139"/>
        <v>150000</v>
      </c>
      <c r="G1158" s="534">
        <f t="shared" si="139"/>
        <v>150000</v>
      </c>
      <c r="H1158" s="699">
        <f t="shared" si="138"/>
        <v>1</v>
      </c>
      <c r="J1158" s="444" t="s">
        <v>701</v>
      </c>
    </row>
    <row r="1159" spans="1:10" s="506" customFormat="1" ht="15" customHeight="1">
      <c r="A1159" s="512"/>
      <c r="B1159" s="4829"/>
      <c r="C1159" s="5164" t="s">
        <v>567</v>
      </c>
      <c r="D1159" s="5164"/>
      <c r="E1159" s="558">
        <f t="shared" si="139"/>
        <v>150000</v>
      </c>
      <c r="F1159" s="486">
        <f t="shared" si="139"/>
        <v>150000</v>
      </c>
      <c r="G1159" s="605">
        <f t="shared" si="139"/>
        <v>150000</v>
      </c>
      <c r="H1159" s="3199">
        <f t="shared" si="138"/>
        <v>1</v>
      </c>
      <c r="J1159" s="444"/>
    </row>
    <row r="1160" spans="1:10" s="506" customFormat="1" ht="15" customHeight="1">
      <c r="A1160" s="512"/>
      <c r="B1160" s="4830"/>
      <c r="C1160" s="5162" t="s">
        <v>640</v>
      </c>
      <c r="D1160" s="5162"/>
      <c r="E1160" s="3101">
        <f t="shared" si="139"/>
        <v>150000</v>
      </c>
      <c r="F1160" s="3100">
        <f t="shared" si="139"/>
        <v>150000</v>
      </c>
      <c r="G1160" s="3118">
        <f t="shared" si="139"/>
        <v>150000</v>
      </c>
      <c r="H1160" s="3193">
        <f t="shared" si="138"/>
        <v>1</v>
      </c>
      <c r="J1160" s="444"/>
    </row>
    <row r="1161" spans="1:10" s="506" customFormat="1" ht="51.75" thickBot="1">
      <c r="A1161" s="512"/>
      <c r="B1161" s="4831"/>
      <c r="C1161" s="3319" t="s">
        <v>91</v>
      </c>
      <c r="D1161" s="3312" t="s">
        <v>649</v>
      </c>
      <c r="E1161" s="567">
        <v>150000</v>
      </c>
      <c r="F1161" s="503">
        <v>150000</v>
      </c>
      <c r="G1161" s="702">
        <v>150000</v>
      </c>
      <c r="H1161" s="701">
        <f t="shared" si="138"/>
        <v>1</v>
      </c>
      <c r="J1161" s="444"/>
    </row>
    <row r="1162" spans="1:10" s="506" customFormat="1" ht="15" customHeight="1" thickBot="1">
      <c r="A1162" s="512"/>
      <c r="B1162" s="568" t="s">
        <v>386</v>
      </c>
      <c r="C1162" s="619"/>
      <c r="D1162" s="570" t="s">
        <v>385</v>
      </c>
      <c r="E1162" s="571">
        <f>SUM(E1163,E1175)</f>
        <v>466198</v>
      </c>
      <c r="F1162" s="493">
        <f t="shared" ref="F1162:G1162" si="140">SUM(F1163,F1175)</f>
        <v>466198</v>
      </c>
      <c r="G1162" s="548">
        <f t="shared" si="140"/>
        <v>464391.04</v>
      </c>
      <c r="H1162" s="699">
        <f t="shared" si="138"/>
        <v>0.99612405029622597</v>
      </c>
      <c r="J1162" s="444" t="s">
        <v>701</v>
      </c>
    </row>
    <row r="1163" spans="1:10" s="506" customFormat="1" ht="15" customHeight="1">
      <c r="A1163" s="512"/>
      <c r="B1163" s="514"/>
      <c r="C1163" s="5173" t="s">
        <v>567</v>
      </c>
      <c r="D1163" s="5173"/>
      <c r="E1163" s="558">
        <f>SUM(E1164,E1170)</f>
        <v>466198</v>
      </c>
      <c r="F1163" s="486">
        <f>SUM(F1164,F1170)</f>
        <v>419698</v>
      </c>
      <c r="G1163" s="605">
        <f>SUM(G1164,G1170)</f>
        <v>417891.04</v>
      </c>
      <c r="H1163" s="3199">
        <f t="shared" si="138"/>
        <v>0.99569461851140573</v>
      </c>
      <c r="J1163" s="444"/>
    </row>
    <row r="1164" spans="1:10" s="506" customFormat="1" ht="15" customHeight="1">
      <c r="A1164" s="512"/>
      <c r="B1164" s="514"/>
      <c r="C1164" s="5174" t="s">
        <v>568</v>
      </c>
      <c r="D1164" s="5174"/>
      <c r="E1164" s="3101">
        <f>SUM(E1165)</f>
        <v>33000</v>
      </c>
      <c r="F1164" s="3100">
        <f>SUM(F1165)</f>
        <v>33000</v>
      </c>
      <c r="G1164" s="3118">
        <f>SUM(G1165)</f>
        <v>32230</v>
      </c>
      <c r="H1164" s="3193">
        <f t="shared" si="138"/>
        <v>0.97666666666666668</v>
      </c>
      <c r="J1164" s="444"/>
    </row>
    <row r="1165" spans="1:10" s="506" customFormat="1" ht="15" customHeight="1">
      <c r="A1165" s="512"/>
      <c r="B1165" s="514"/>
      <c r="C1165" s="5182" t="s">
        <v>577</v>
      </c>
      <c r="D1165" s="5175"/>
      <c r="E1165" s="3105">
        <f>SUM(E1166:E1168)</f>
        <v>33000</v>
      </c>
      <c r="F1165" s="3104">
        <f>SUM(F1166:F1168)</f>
        <v>33000</v>
      </c>
      <c r="G1165" s="3119">
        <f>SUM(G1166:G1168)</f>
        <v>32230</v>
      </c>
      <c r="H1165" s="3201">
        <f t="shared" si="138"/>
        <v>0.97666666666666668</v>
      </c>
      <c r="J1165" s="444"/>
    </row>
    <row r="1166" spans="1:10" s="506" customFormat="1" ht="15" customHeight="1">
      <c r="A1166" s="514"/>
      <c r="B1166" s="514"/>
      <c r="C1166" s="3320" t="s">
        <v>334</v>
      </c>
      <c r="D1166" s="3321" t="s">
        <v>624</v>
      </c>
      <c r="E1166" s="3100">
        <v>27000</v>
      </c>
      <c r="F1166" s="3100">
        <v>27000</v>
      </c>
      <c r="G1166" s="3118">
        <v>26232.21</v>
      </c>
      <c r="H1166" s="3193">
        <f t="shared" si="138"/>
        <v>0.97156333333333333</v>
      </c>
      <c r="J1166" s="444"/>
    </row>
    <row r="1167" spans="1:10" s="506" customFormat="1" ht="15" customHeight="1">
      <c r="A1167" s="512"/>
      <c r="B1167" s="514"/>
      <c r="C1167" s="3322" t="s">
        <v>313</v>
      </c>
      <c r="D1167" s="3323" t="s">
        <v>579</v>
      </c>
      <c r="E1167" s="481">
        <v>2000</v>
      </c>
      <c r="F1167" s="481">
        <v>2000</v>
      </c>
      <c r="G1167" s="604">
        <v>1997.79</v>
      </c>
      <c r="H1167" s="3193">
        <f t="shared" si="138"/>
        <v>0.99889499999999998</v>
      </c>
      <c r="J1167" s="444"/>
    </row>
    <row r="1168" spans="1:10" s="506" customFormat="1" ht="15" customHeight="1">
      <c r="A1168" s="514"/>
      <c r="B1168" s="514"/>
      <c r="C1168" s="3324" t="s">
        <v>312</v>
      </c>
      <c r="D1168" s="3325" t="s">
        <v>584</v>
      </c>
      <c r="E1168" s="3100">
        <v>4000</v>
      </c>
      <c r="F1168" s="3100">
        <v>4000</v>
      </c>
      <c r="G1168" s="3118">
        <v>4000</v>
      </c>
      <c r="H1168" s="3193">
        <f t="shared" si="138"/>
        <v>1</v>
      </c>
      <c r="J1168" s="444"/>
    </row>
    <row r="1169" spans="1:10" s="506" customFormat="1" ht="15" customHeight="1">
      <c r="A1169" s="512"/>
      <c r="B1169" s="514"/>
      <c r="C1169" s="578"/>
      <c r="D1169" s="559"/>
      <c r="E1169" s="560"/>
      <c r="F1169" s="481"/>
      <c r="G1169" s="604"/>
      <c r="H1169" s="3193"/>
      <c r="J1169" s="444"/>
    </row>
    <row r="1170" spans="1:10" s="506" customFormat="1" ht="15" customHeight="1">
      <c r="A1170" s="512"/>
      <c r="B1170" s="514"/>
      <c r="C1170" s="5183" t="s">
        <v>640</v>
      </c>
      <c r="D1170" s="5184"/>
      <c r="E1170" s="3101">
        <f>SUM(E1171:E1173)</f>
        <v>433198</v>
      </c>
      <c r="F1170" s="3100">
        <f t="shared" ref="F1170:G1170" si="141">SUM(F1171:F1173)</f>
        <v>386698</v>
      </c>
      <c r="G1170" s="3118">
        <f t="shared" si="141"/>
        <v>385661.04</v>
      </c>
      <c r="H1170" s="3193">
        <f t="shared" ref="H1170:H1185" si="142">G1170/F1170</f>
        <v>0.99731842419665984</v>
      </c>
      <c r="J1170" s="444"/>
    </row>
    <row r="1171" spans="1:10" s="506" customFormat="1" ht="42" customHeight="1">
      <c r="A1171" s="514"/>
      <c r="B1171" s="514"/>
      <c r="C1171" s="3320" t="s">
        <v>436</v>
      </c>
      <c r="D1171" s="3326" t="s">
        <v>641</v>
      </c>
      <c r="E1171" s="3100">
        <v>0</v>
      </c>
      <c r="F1171" s="3100">
        <v>3500</v>
      </c>
      <c r="G1171" s="3118">
        <v>3400</v>
      </c>
      <c r="H1171" s="3193">
        <f t="shared" si="142"/>
        <v>0.97142857142857142</v>
      </c>
      <c r="J1171" s="444"/>
    </row>
    <row r="1172" spans="1:10" s="506" customFormat="1" ht="55.5" customHeight="1">
      <c r="A1172" s="514"/>
      <c r="B1172" s="514"/>
      <c r="C1172" s="3320" t="s">
        <v>91</v>
      </c>
      <c r="D1172" s="3321" t="s">
        <v>649</v>
      </c>
      <c r="E1172" s="3101">
        <v>268200</v>
      </c>
      <c r="F1172" s="3100">
        <v>218200</v>
      </c>
      <c r="G1172" s="3118">
        <v>217632.74</v>
      </c>
      <c r="H1172" s="3193">
        <f t="shared" si="142"/>
        <v>0.99740027497708517</v>
      </c>
      <c r="J1172" s="444"/>
    </row>
    <row r="1173" spans="1:10" s="506" customFormat="1" ht="27" customHeight="1">
      <c r="A1173" s="512"/>
      <c r="B1173" s="514"/>
      <c r="C1173" s="3324" t="s">
        <v>895</v>
      </c>
      <c r="D1173" s="3327" t="s">
        <v>896</v>
      </c>
      <c r="E1173" s="3100">
        <v>164998</v>
      </c>
      <c r="F1173" s="3100">
        <v>164998</v>
      </c>
      <c r="G1173" s="3118">
        <v>164628.29999999999</v>
      </c>
      <c r="H1173" s="3193">
        <f t="shared" si="142"/>
        <v>0.99775936678020327</v>
      </c>
      <c r="J1173" s="444"/>
    </row>
    <row r="1174" spans="1:10" s="506" customFormat="1" ht="15" customHeight="1" thickBot="1">
      <c r="A1174" s="593"/>
      <c r="B1174" s="565"/>
      <c r="C1174" s="3317"/>
      <c r="D1174" s="3318"/>
      <c r="E1174" s="567"/>
      <c r="F1174" s="503"/>
      <c r="G1174" s="702"/>
      <c r="H1174" s="2245"/>
      <c r="J1174" s="444"/>
    </row>
    <row r="1175" spans="1:10" ht="15" customHeight="1">
      <c r="A1175" s="3328"/>
      <c r="B1175" s="5185"/>
      <c r="C1175" s="5187" t="s">
        <v>603</v>
      </c>
      <c r="D1175" s="5123"/>
      <c r="E1175" s="2565">
        <f t="shared" ref="E1175:G1176" si="143">SUM(E1176)</f>
        <v>0</v>
      </c>
      <c r="F1175" s="2565">
        <f t="shared" si="143"/>
        <v>46500</v>
      </c>
      <c r="G1175" s="2566">
        <f t="shared" si="143"/>
        <v>46500</v>
      </c>
      <c r="H1175" s="1978">
        <f t="shared" ref="H1175:H1176" si="144">G1175/F1175</f>
        <v>1</v>
      </c>
    </row>
    <row r="1176" spans="1:10" ht="15" customHeight="1">
      <c r="A1176" s="620"/>
      <c r="B1176" s="5186"/>
      <c r="C1176" s="5188" t="s">
        <v>604</v>
      </c>
      <c r="D1176" s="5188"/>
      <c r="E1176" s="3100">
        <f t="shared" si="143"/>
        <v>0</v>
      </c>
      <c r="F1176" s="3100">
        <f t="shared" si="143"/>
        <v>46500</v>
      </c>
      <c r="G1176" s="3118">
        <f t="shared" si="143"/>
        <v>46500</v>
      </c>
      <c r="H1176" s="3193">
        <f t="shared" si="144"/>
        <v>1</v>
      </c>
    </row>
    <row r="1177" spans="1:10" ht="43.5" customHeight="1" thickBot="1">
      <c r="A1177" s="620"/>
      <c r="B1177" s="5186"/>
      <c r="C1177" s="3329" t="s">
        <v>431</v>
      </c>
      <c r="D1177" s="3326" t="s">
        <v>643</v>
      </c>
      <c r="E1177" s="3100">
        <v>0</v>
      </c>
      <c r="F1177" s="3100">
        <v>46500</v>
      </c>
      <c r="G1177" s="3118">
        <v>46500</v>
      </c>
      <c r="H1177" s="701">
        <f t="shared" si="142"/>
        <v>1</v>
      </c>
    </row>
    <row r="1178" spans="1:10" s="506" customFormat="1" ht="15" customHeight="1" thickBot="1">
      <c r="A1178" s="512"/>
      <c r="B1178" s="508" t="s">
        <v>384</v>
      </c>
      <c r="C1178" s="2344"/>
      <c r="D1178" s="2345" t="s">
        <v>383</v>
      </c>
      <c r="E1178" s="511">
        <f t="shared" ref="E1178:G1178" si="145">SUM(E1179)</f>
        <v>18504000</v>
      </c>
      <c r="F1178" s="485">
        <f t="shared" si="145"/>
        <v>37709310</v>
      </c>
      <c r="G1178" s="534">
        <f t="shared" si="145"/>
        <v>29401790.629999999</v>
      </c>
      <c r="H1178" s="699">
        <f t="shared" si="142"/>
        <v>0.77969580005574213</v>
      </c>
      <c r="J1178" s="444"/>
    </row>
    <row r="1179" spans="1:10" s="506" customFormat="1" ht="15" customHeight="1">
      <c r="A1179" s="512"/>
      <c r="B1179" s="515"/>
      <c r="C1179" s="5173" t="s">
        <v>567</v>
      </c>
      <c r="D1179" s="5173"/>
      <c r="E1179" s="3330">
        <f>SUM(E1180,E1190)</f>
        <v>18504000</v>
      </c>
      <c r="F1179" s="3331">
        <f t="shared" ref="F1179:G1179" si="146">SUM(F1180,F1190)</f>
        <v>37709310</v>
      </c>
      <c r="G1179" s="3332">
        <f t="shared" si="146"/>
        <v>29401790.629999999</v>
      </c>
      <c r="H1179" s="3199">
        <f t="shared" si="142"/>
        <v>0.77969580005574213</v>
      </c>
      <c r="J1179" s="444"/>
    </row>
    <row r="1180" spans="1:10" s="506" customFormat="1" ht="15" customHeight="1">
      <c r="A1180" s="512"/>
      <c r="B1180" s="515"/>
      <c r="C1180" s="5174" t="s">
        <v>568</v>
      </c>
      <c r="D1180" s="5174"/>
      <c r="E1180" s="3101">
        <f>SUM(E1181,E1187)</f>
        <v>18504000</v>
      </c>
      <c r="F1180" s="3100">
        <f>SUM(F1181,F1187)</f>
        <v>37709240</v>
      </c>
      <c r="G1180" s="3118">
        <f>SUM(G1181,G1187)</f>
        <v>29401720.629999999</v>
      </c>
      <c r="H1180" s="3193">
        <f t="shared" si="142"/>
        <v>0.77969539110308239</v>
      </c>
      <c r="J1180" s="444"/>
    </row>
    <row r="1181" spans="1:10" s="506" customFormat="1" ht="15" customHeight="1">
      <c r="A1181" s="512"/>
      <c r="B1181" s="515"/>
      <c r="C1181" s="5176" t="s">
        <v>569</v>
      </c>
      <c r="D1181" s="5176"/>
      <c r="E1181" s="3105">
        <f>SUM(E1182:E1185)</f>
        <v>0</v>
      </c>
      <c r="F1181" s="3104">
        <f>SUM(F1182:F1185)</f>
        <v>59901</v>
      </c>
      <c r="G1181" s="3119">
        <f>SUM(G1182:G1185)</f>
        <v>59901</v>
      </c>
      <c r="H1181" s="3193">
        <f t="shared" si="142"/>
        <v>1</v>
      </c>
      <c r="J1181" s="444"/>
    </row>
    <row r="1182" spans="1:10" s="506" customFormat="1" ht="15" customHeight="1">
      <c r="A1182" s="512"/>
      <c r="B1182" s="515"/>
      <c r="C1182" s="3315" t="s">
        <v>337</v>
      </c>
      <c r="D1182" s="3326" t="s">
        <v>571</v>
      </c>
      <c r="E1182" s="3100">
        <v>0</v>
      </c>
      <c r="F1182" s="3100">
        <v>49981</v>
      </c>
      <c r="G1182" s="3118">
        <v>49981</v>
      </c>
      <c r="H1182" s="3193">
        <f t="shared" si="142"/>
        <v>1</v>
      </c>
      <c r="J1182" s="444"/>
    </row>
    <row r="1183" spans="1:10" s="506" customFormat="1" ht="15" customHeight="1">
      <c r="A1183" s="512"/>
      <c r="B1183" s="515"/>
      <c r="C1183" s="3315" t="s">
        <v>315</v>
      </c>
      <c r="D1183" s="3333" t="s">
        <v>573</v>
      </c>
      <c r="E1183" s="3100">
        <v>0</v>
      </c>
      <c r="F1183" s="3100">
        <v>8592</v>
      </c>
      <c r="G1183" s="3118">
        <v>8592</v>
      </c>
      <c r="H1183" s="3193">
        <f t="shared" si="142"/>
        <v>1</v>
      </c>
      <c r="J1183" s="444"/>
    </row>
    <row r="1184" spans="1:10" s="506" customFormat="1" ht="15" customHeight="1">
      <c r="A1184" s="512"/>
      <c r="B1184" s="515"/>
      <c r="C1184" s="3315" t="s">
        <v>314</v>
      </c>
      <c r="D1184" s="3316" t="s">
        <v>574</v>
      </c>
      <c r="E1184" s="3100">
        <v>0</v>
      </c>
      <c r="F1184" s="3100">
        <v>1022</v>
      </c>
      <c r="G1184" s="3118">
        <v>1022</v>
      </c>
      <c r="H1184" s="3193">
        <f t="shared" si="142"/>
        <v>1</v>
      </c>
      <c r="J1184" s="444"/>
    </row>
    <row r="1185" spans="1:10" s="506" customFormat="1" ht="15" customHeight="1">
      <c r="A1185" s="512"/>
      <c r="B1185" s="515"/>
      <c r="C1185" s="3320" t="s">
        <v>335</v>
      </c>
      <c r="D1185" s="3334" t="s">
        <v>576</v>
      </c>
      <c r="E1185" s="3100">
        <v>0</v>
      </c>
      <c r="F1185" s="3100">
        <v>306</v>
      </c>
      <c r="G1185" s="3118">
        <v>306</v>
      </c>
      <c r="H1185" s="3193">
        <f t="shared" si="142"/>
        <v>1</v>
      </c>
      <c r="J1185" s="444"/>
    </row>
    <row r="1186" spans="1:10" s="506" customFormat="1" ht="15" customHeight="1">
      <c r="A1186" s="512"/>
      <c r="B1186" s="515"/>
      <c r="C1186" s="580"/>
      <c r="D1186" s="3335"/>
      <c r="E1186" s="3101"/>
      <c r="F1186" s="3126"/>
      <c r="G1186" s="3127"/>
      <c r="H1186" s="3242"/>
      <c r="J1186" s="444"/>
    </row>
    <row r="1187" spans="1:10" s="506" customFormat="1" ht="15" customHeight="1">
      <c r="A1187" s="512"/>
      <c r="B1187" s="515"/>
      <c r="C1187" s="5177" t="s">
        <v>577</v>
      </c>
      <c r="D1187" s="5177"/>
      <c r="E1187" s="3104">
        <f>SUM(E1188)</f>
        <v>18504000</v>
      </c>
      <c r="F1187" s="3104">
        <f>SUM(F1188)</f>
        <v>37649339</v>
      </c>
      <c r="G1187" s="3119">
        <f>SUM(G1188)</f>
        <v>29341819.629999999</v>
      </c>
      <c r="H1187" s="3193">
        <f t="shared" ref="H1187:H1196" si="147">G1187/F1187</f>
        <v>0.77934488119432854</v>
      </c>
      <c r="J1187" s="444"/>
    </row>
    <row r="1188" spans="1:10" s="506" customFormat="1" ht="15" customHeight="1">
      <c r="A1188" s="514"/>
      <c r="B1188" s="515"/>
      <c r="C1188" s="3336" t="s">
        <v>382</v>
      </c>
      <c r="D1188" s="3337" t="s">
        <v>908</v>
      </c>
      <c r="E1188" s="3100">
        <v>18504000</v>
      </c>
      <c r="F1188" s="3100">
        <v>37649339</v>
      </c>
      <c r="G1188" s="3118">
        <v>29341819.629999999</v>
      </c>
      <c r="H1188" s="3193">
        <f t="shared" si="147"/>
        <v>0.77934488119432854</v>
      </c>
      <c r="J1188" s="444" t="s">
        <v>701</v>
      </c>
    </row>
    <row r="1189" spans="1:10" s="506" customFormat="1" ht="15" customHeight="1">
      <c r="A1189" s="514"/>
      <c r="B1189" s="514"/>
      <c r="C1189" s="5178"/>
      <c r="D1189" s="5179"/>
      <c r="E1189" s="560"/>
      <c r="F1189" s="482"/>
      <c r="G1189" s="483"/>
      <c r="H1189" s="3242"/>
      <c r="J1189" s="444"/>
    </row>
    <row r="1190" spans="1:10" s="506" customFormat="1" ht="15" customHeight="1">
      <c r="A1190" s="512"/>
      <c r="B1190" s="514"/>
      <c r="C1190" s="5180" t="s">
        <v>640</v>
      </c>
      <c r="D1190" s="5147"/>
      <c r="E1190" s="481">
        <f>SUM(E1191)</f>
        <v>0</v>
      </c>
      <c r="F1190" s="481">
        <f>SUM(F1191)</f>
        <v>70</v>
      </c>
      <c r="G1190" s="604">
        <f>SUM(G1191)</f>
        <v>70</v>
      </c>
      <c r="H1190" s="3193">
        <f>G1190/F1190</f>
        <v>1</v>
      </c>
      <c r="J1190" s="444"/>
    </row>
    <row r="1191" spans="1:10" s="506" customFormat="1" ht="54.75" customHeight="1" thickBot="1">
      <c r="A1191" s="512"/>
      <c r="B1191" s="514"/>
      <c r="C1191" s="3338" t="s">
        <v>42</v>
      </c>
      <c r="D1191" s="3339" t="s">
        <v>909</v>
      </c>
      <c r="E1191" s="3100">
        <v>0</v>
      </c>
      <c r="F1191" s="3100">
        <v>70</v>
      </c>
      <c r="G1191" s="3118">
        <v>70</v>
      </c>
      <c r="H1191" s="3193">
        <f>G1191/F1191</f>
        <v>1</v>
      </c>
      <c r="J1191" s="444" t="s">
        <v>701</v>
      </c>
    </row>
    <row r="1192" spans="1:10" s="506" customFormat="1" ht="15" customHeight="1" thickBot="1">
      <c r="A1192" s="512"/>
      <c r="B1192" s="508" t="s">
        <v>381</v>
      </c>
      <c r="C1192" s="2049"/>
      <c r="D1192" s="2050" t="s">
        <v>44</v>
      </c>
      <c r="E1192" s="485">
        <f>SUM(E1193)</f>
        <v>140083</v>
      </c>
      <c r="F1192" s="485">
        <f t="shared" ref="F1192:G1192" si="148">SUM(F1193)</f>
        <v>177883</v>
      </c>
      <c r="G1192" s="534">
        <f t="shared" si="148"/>
        <v>62027.380000000005</v>
      </c>
      <c r="H1192" s="699">
        <f t="shared" si="147"/>
        <v>0.34869762709196495</v>
      </c>
      <c r="J1192" s="444"/>
    </row>
    <row r="1193" spans="1:10" s="506" customFormat="1" ht="15" customHeight="1">
      <c r="A1193" s="512"/>
      <c r="B1193" s="515"/>
      <c r="C1193" s="5181" t="s">
        <v>567</v>
      </c>
      <c r="D1193" s="5181"/>
      <c r="E1193" s="486">
        <f>SUM(E1194,E1201,E1204)</f>
        <v>140083</v>
      </c>
      <c r="F1193" s="486">
        <f t="shared" ref="F1193:G1193" si="149">SUM(F1194,F1201,F1204)</f>
        <v>177883</v>
      </c>
      <c r="G1193" s="605">
        <f t="shared" si="149"/>
        <v>62027.380000000005</v>
      </c>
      <c r="H1193" s="3199">
        <f t="shared" si="147"/>
        <v>0.34869762709196495</v>
      </c>
      <c r="J1193" s="444"/>
    </row>
    <row r="1194" spans="1:10" s="506" customFormat="1" ht="15" customHeight="1">
      <c r="A1194" s="512"/>
      <c r="B1194" s="514"/>
      <c r="C1194" s="5190" t="s">
        <v>568</v>
      </c>
      <c r="D1194" s="5190"/>
      <c r="E1194" s="3100">
        <f>SUM(E1195,E1198)</f>
        <v>50083</v>
      </c>
      <c r="F1194" s="3100">
        <f>SUM(F1195,F1198)</f>
        <v>85883</v>
      </c>
      <c r="G1194" s="3118">
        <f>SUM(G1195,G1198)</f>
        <v>61667.380000000005</v>
      </c>
      <c r="H1194" s="3193">
        <f t="shared" si="147"/>
        <v>0.71803942573035417</v>
      </c>
      <c r="J1194" s="444"/>
    </row>
    <row r="1195" spans="1:10" s="506" customFormat="1" ht="15" customHeight="1">
      <c r="A1195" s="512"/>
      <c r="B1195" s="514"/>
      <c r="C1195" s="5191" t="s">
        <v>569</v>
      </c>
      <c r="D1195" s="5191"/>
      <c r="E1195" s="3104">
        <f>SUM(E1196)</f>
        <v>46375</v>
      </c>
      <c r="F1195" s="3104">
        <f>SUM(F1196)</f>
        <v>59975</v>
      </c>
      <c r="G1195" s="3119">
        <f>SUM(G1196)</f>
        <v>40800</v>
      </c>
      <c r="H1195" s="3201">
        <f t="shared" si="147"/>
        <v>0.68028345143809921</v>
      </c>
      <c r="J1195" s="444"/>
    </row>
    <row r="1196" spans="1:10" s="506" customFormat="1" ht="15" customHeight="1">
      <c r="A1196" s="512"/>
      <c r="B1196" s="514"/>
      <c r="C1196" s="3340" t="s">
        <v>319</v>
      </c>
      <c r="D1196" s="3326" t="s">
        <v>575</v>
      </c>
      <c r="E1196" s="3100">
        <v>46375</v>
      </c>
      <c r="F1196" s="3100">
        <v>59975</v>
      </c>
      <c r="G1196" s="3118">
        <v>40800</v>
      </c>
      <c r="H1196" s="3193">
        <f t="shared" si="147"/>
        <v>0.68028345143809921</v>
      </c>
      <c r="J1196" s="444" t="s">
        <v>701</v>
      </c>
    </row>
    <row r="1197" spans="1:10" s="506" customFormat="1" ht="15" customHeight="1">
      <c r="A1197" s="512"/>
      <c r="B1197" s="514"/>
      <c r="C1197" s="526"/>
      <c r="D1197" s="526"/>
      <c r="E1197" s="3100"/>
      <c r="F1197" s="3100"/>
      <c r="G1197" s="3118"/>
      <c r="H1197" s="3193"/>
      <c r="J1197" s="444"/>
    </row>
    <row r="1198" spans="1:10" s="506" customFormat="1" ht="15" customHeight="1">
      <c r="A1198" s="512"/>
      <c r="B1198" s="514"/>
      <c r="C1198" s="5177" t="s">
        <v>577</v>
      </c>
      <c r="D1198" s="5177"/>
      <c r="E1198" s="3341">
        <f>SUM(E1199)</f>
        <v>3708</v>
      </c>
      <c r="F1198" s="3341">
        <f>SUM(F1199)</f>
        <v>25908</v>
      </c>
      <c r="G1198" s="3342">
        <f>SUM(G1199)</f>
        <v>20867.38</v>
      </c>
      <c r="H1198" s="3193">
        <f>G1198/F1198</f>
        <v>0.80544156245175236</v>
      </c>
      <c r="J1198" s="444"/>
    </row>
    <row r="1199" spans="1:10" s="506" customFormat="1" ht="15" customHeight="1">
      <c r="A1199" s="512"/>
      <c r="B1199" s="514"/>
      <c r="C1199" s="3179" t="s">
        <v>312</v>
      </c>
      <c r="D1199" s="3343" t="s">
        <v>584</v>
      </c>
      <c r="E1199" s="3100">
        <v>3708</v>
      </c>
      <c r="F1199" s="3100">
        <v>25908</v>
      </c>
      <c r="G1199" s="3118">
        <v>20867.38</v>
      </c>
      <c r="H1199" s="3193">
        <f>G1199/F1199</f>
        <v>0.80544156245175236</v>
      </c>
      <c r="J1199" s="444" t="s">
        <v>701</v>
      </c>
    </row>
    <row r="1200" spans="1:10" s="506" customFormat="1" ht="15" customHeight="1" thickBot="1">
      <c r="A1200" s="565"/>
      <c r="B1200" s="565"/>
      <c r="C1200" s="5192"/>
      <c r="D1200" s="5193"/>
      <c r="E1200" s="567"/>
      <c r="F1200" s="2618"/>
      <c r="G1200" s="702"/>
      <c r="H1200" s="2620"/>
      <c r="J1200" s="444"/>
    </row>
    <row r="1201" spans="1:10" s="506" customFormat="1" ht="15" customHeight="1">
      <c r="A1201" s="507"/>
      <c r="B1201" s="3303"/>
      <c r="C1201" s="5194" t="s">
        <v>640</v>
      </c>
      <c r="D1201" s="5195"/>
      <c r="E1201" s="2292">
        <f>SUM(E1202)</f>
        <v>90000</v>
      </c>
      <c r="F1201" s="2292">
        <f>SUM(F1202)</f>
        <v>90000</v>
      </c>
      <c r="G1201" s="2435">
        <f>SUM(G1202)</f>
        <v>0</v>
      </c>
      <c r="H1201" s="2063">
        <f>G1201/F1201</f>
        <v>0</v>
      </c>
      <c r="J1201" s="444"/>
    </row>
    <row r="1202" spans="1:10" s="506" customFormat="1" ht="51">
      <c r="A1202" s="512"/>
      <c r="B1202" s="514"/>
      <c r="C1202" s="3338" t="s">
        <v>91</v>
      </c>
      <c r="D1202" s="3343" t="s">
        <v>649</v>
      </c>
      <c r="E1202" s="3100">
        <v>90000</v>
      </c>
      <c r="F1202" s="3100">
        <v>90000</v>
      </c>
      <c r="G1202" s="3118">
        <v>0</v>
      </c>
      <c r="H1202" s="3193">
        <f>G1202/F1202</f>
        <v>0</v>
      </c>
      <c r="J1202" s="444" t="s">
        <v>701</v>
      </c>
    </row>
    <row r="1203" spans="1:10" s="506" customFormat="1" ht="15">
      <c r="A1203" s="512"/>
      <c r="B1203" s="514"/>
      <c r="C1203" s="5196"/>
      <c r="D1203" s="5197"/>
      <c r="E1203" s="3100"/>
      <c r="F1203" s="3100"/>
      <c r="G1203" s="3118"/>
      <c r="H1203" s="3193"/>
      <c r="J1203" s="444"/>
    </row>
    <row r="1204" spans="1:10" s="506" customFormat="1" ht="15" customHeight="1">
      <c r="A1204" s="512"/>
      <c r="B1204" s="572"/>
      <c r="C1204" s="5172" t="s">
        <v>601</v>
      </c>
      <c r="D1204" s="5172"/>
      <c r="E1204" s="3293">
        <f>SUM(E1205)</f>
        <v>0</v>
      </c>
      <c r="F1204" s="3293">
        <f>SUM(F1205)</f>
        <v>2000</v>
      </c>
      <c r="G1204" s="3294">
        <f>SUM(G1205)</f>
        <v>360</v>
      </c>
      <c r="H1204" s="3193">
        <f>G1204/F1204</f>
        <v>0.18</v>
      </c>
      <c r="J1204" s="444" t="s">
        <v>701</v>
      </c>
    </row>
    <row r="1205" spans="1:10" s="506" customFormat="1" ht="15" customHeight="1" thickBot="1">
      <c r="A1205" s="512"/>
      <c r="B1205" s="572"/>
      <c r="C1205" s="3315" t="s">
        <v>320</v>
      </c>
      <c r="D1205" s="3316" t="s">
        <v>744</v>
      </c>
      <c r="E1205" s="3100">
        <v>0</v>
      </c>
      <c r="F1205" s="3100">
        <v>2000</v>
      </c>
      <c r="G1205" s="3118">
        <v>360</v>
      </c>
      <c r="H1205" s="701">
        <f>G1205/F1205</f>
        <v>0.18</v>
      </c>
      <c r="J1205" s="444"/>
    </row>
    <row r="1206" spans="1:10" ht="15" customHeight="1" thickBot="1">
      <c r="A1206" s="2312" t="s">
        <v>380</v>
      </c>
      <c r="B1206" s="496"/>
      <c r="C1206" s="2314"/>
      <c r="D1206" s="2315" t="s">
        <v>910</v>
      </c>
      <c r="E1206" s="499">
        <f>SUM(E1207,E1211,E1254,E1293,E1298)</f>
        <v>39992576</v>
      </c>
      <c r="F1206" s="499">
        <f>SUM(F1207,F1211,F1254,F1293,F1298)</f>
        <v>37764133</v>
      </c>
      <c r="G1206" s="516">
        <f>SUM(G1207,G1211,G1254,G1293,G1298)</f>
        <v>33928786.280000001</v>
      </c>
      <c r="H1206" s="1112">
        <f t="shared" ref="H1206:H1220" si="150">G1206/F1206</f>
        <v>0.89843943405241167</v>
      </c>
    </row>
    <row r="1207" spans="1:10" s="506" customFormat="1" ht="15" customHeight="1" thickBot="1">
      <c r="A1207" s="3344"/>
      <c r="B1207" s="617" t="s">
        <v>379</v>
      </c>
      <c r="C1207" s="2943"/>
      <c r="D1207" s="2944" t="s">
        <v>225</v>
      </c>
      <c r="E1207" s="485">
        <f>SUM(E1208)</f>
        <v>200000</v>
      </c>
      <c r="F1207" s="485">
        <f>SUM(F1208)</f>
        <v>200000</v>
      </c>
      <c r="G1207" s="534">
        <f>SUM(G1208)</f>
        <v>181477.66</v>
      </c>
      <c r="H1207" s="699">
        <f t="shared" si="150"/>
        <v>0.90738830000000004</v>
      </c>
      <c r="J1207" s="444"/>
    </row>
    <row r="1208" spans="1:10" s="506" customFormat="1" ht="15" customHeight="1">
      <c r="A1208" s="622"/>
      <c r="B1208" s="5189"/>
      <c r="C1208" s="5181" t="s">
        <v>567</v>
      </c>
      <c r="D1208" s="5181"/>
      <c r="E1208" s="486">
        <f>SUM(E1209)</f>
        <v>200000</v>
      </c>
      <c r="F1208" s="486">
        <f t="shared" ref="F1208:G1208" si="151">SUM(F1209)</f>
        <v>200000</v>
      </c>
      <c r="G1208" s="605">
        <f t="shared" si="151"/>
        <v>181477.66</v>
      </c>
      <c r="H1208" s="3199">
        <f t="shared" si="150"/>
        <v>0.90738830000000004</v>
      </c>
      <c r="J1208" s="444"/>
    </row>
    <row r="1209" spans="1:10" s="506" customFormat="1" ht="15" customHeight="1">
      <c r="A1209" s="622"/>
      <c r="B1209" s="5189"/>
      <c r="C1209" s="5190" t="s">
        <v>640</v>
      </c>
      <c r="D1209" s="5190"/>
      <c r="E1209" s="3100">
        <f>SUM(E1210)</f>
        <v>200000</v>
      </c>
      <c r="F1209" s="3100">
        <f>SUM(F1210)</f>
        <v>200000</v>
      </c>
      <c r="G1209" s="3118">
        <f>SUM(G1210)</f>
        <v>181477.66</v>
      </c>
      <c r="H1209" s="3193">
        <f t="shared" si="150"/>
        <v>0.90738830000000004</v>
      </c>
      <c r="J1209" s="444"/>
    </row>
    <row r="1210" spans="1:10" s="506" customFormat="1" ht="51.75" thickBot="1">
      <c r="A1210" s="622"/>
      <c r="B1210" s="5189"/>
      <c r="C1210" s="1113" t="s">
        <v>91</v>
      </c>
      <c r="D1210" s="3345" t="s">
        <v>911</v>
      </c>
      <c r="E1210" s="3100">
        <v>200000</v>
      </c>
      <c r="F1210" s="3100">
        <v>200000</v>
      </c>
      <c r="G1210" s="3118">
        <v>181477.66</v>
      </c>
      <c r="H1210" s="701">
        <f t="shared" si="150"/>
        <v>0.90738830000000004</v>
      </c>
      <c r="J1210" s="444" t="s">
        <v>701</v>
      </c>
    </row>
    <row r="1211" spans="1:10" s="506" customFormat="1" ht="15" customHeight="1" thickBot="1">
      <c r="A1211" s="512"/>
      <c r="B1211" s="508" t="s">
        <v>912</v>
      </c>
      <c r="C1211" s="2344"/>
      <c r="D1211" s="2345" t="s">
        <v>227</v>
      </c>
      <c r="E1211" s="511">
        <f>SUM(E1212,E1250)</f>
        <v>7767063</v>
      </c>
      <c r="F1211" s="485">
        <f>SUM(F1212,F1250)</f>
        <v>8158840</v>
      </c>
      <c r="G1211" s="534">
        <f>SUM(G1212,G1250)</f>
        <v>7985742.5</v>
      </c>
      <c r="H1211" s="699">
        <f t="shared" si="150"/>
        <v>0.97878405508626232</v>
      </c>
      <c r="J1211" s="444"/>
    </row>
    <row r="1212" spans="1:10" s="506" customFormat="1" ht="15" customHeight="1">
      <c r="A1212" s="512"/>
      <c r="B1212" s="514"/>
      <c r="C1212" s="5173" t="s">
        <v>567</v>
      </c>
      <c r="D1212" s="5173"/>
      <c r="E1212" s="558">
        <f>SUM(E1213,E1244,E1247)</f>
        <v>6764863</v>
      </c>
      <c r="F1212" s="486">
        <f>SUM(F1213,F1244,F1247)</f>
        <v>7156640</v>
      </c>
      <c r="G1212" s="605">
        <f>SUM(G1213,G1244,G1247)</f>
        <v>6988730.3099999996</v>
      </c>
      <c r="H1212" s="3199">
        <f t="shared" si="150"/>
        <v>0.97653791583759975</v>
      </c>
      <c r="J1212" s="444"/>
    </row>
    <row r="1213" spans="1:10" s="506" customFormat="1" ht="15" customHeight="1">
      <c r="A1213" s="512"/>
      <c r="B1213" s="514"/>
      <c r="C1213" s="5174" t="s">
        <v>568</v>
      </c>
      <c r="D1213" s="5174"/>
      <c r="E1213" s="3101">
        <f>SUM(E1214,E1222)</f>
        <v>5798576</v>
      </c>
      <c r="F1213" s="3100">
        <f>SUM(F1214,F1222)</f>
        <v>6166003</v>
      </c>
      <c r="G1213" s="3118">
        <f>SUM(G1214,G1222)</f>
        <v>6033486.1899999995</v>
      </c>
      <c r="H1213" s="3193">
        <f t="shared" si="150"/>
        <v>0.97850847461475443</v>
      </c>
      <c r="J1213" s="444"/>
    </row>
    <row r="1214" spans="1:10" s="506" customFormat="1" ht="15" customHeight="1">
      <c r="A1214" s="512"/>
      <c r="B1214" s="514"/>
      <c r="C1214" s="5176" t="s">
        <v>569</v>
      </c>
      <c r="D1214" s="5176"/>
      <c r="E1214" s="3105">
        <f>SUM(E1215:E1220)</f>
        <v>4665569</v>
      </c>
      <c r="F1214" s="3104">
        <f>SUM(F1215:F1220)</f>
        <v>5005756</v>
      </c>
      <c r="G1214" s="3119">
        <f>SUM(G1215:G1220)</f>
        <v>4991554.3899999997</v>
      </c>
      <c r="H1214" s="3193">
        <f t="shared" si="150"/>
        <v>0.99716294401884542</v>
      </c>
      <c r="J1214" s="444" t="s">
        <v>701</v>
      </c>
    </row>
    <row r="1215" spans="1:10" s="506" customFormat="1" ht="15" customHeight="1">
      <c r="A1215" s="512"/>
      <c r="B1215" s="514"/>
      <c r="C1215" s="3315" t="s">
        <v>337</v>
      </c>
      <c r="D1215" s="3316" t="s">
        <v>571</v>
      </c>
      <c r="E1215" s="3100">
        <v>3631743</v>
      </c>
      <c r="F1215" s="3100">
        <v>3925422</v>
      </c>
      <c r="G1215" s="3118">
        <v>3925275.34</v>
      </c>
      <c r="H1215" s="3193">
        <f t="shared" si="150"/>
        <v>0.99996263841187005</v>
      </c>
      <c r="J1215" s="444"/>
    </row>
    <row r="1216" spans="1:10" s="506" customFormat="1" ht="15" customHeight="1">
      <c r="A1216" s="512"/>
      <c r="B1216" s="514"/>
      <c r="C1216" s="3315" t="s">
        <v>336</v>
      </c>
      <c r="D1216" s="3316" t="s">
        <v>572</v>
      </c>
      <c r="E1216" s="3100">
        <v>231931</v>
      </c>
      <c r="F1216" s="3100">
        <v>225767</v>
      </c>
      <c r="G1216" s="3118">
        <v>225766.46</v>
      </c>
      <c r="H1216" s="3193">
        <f t="shared" si="150"/>
        <v>0.99999760815353878</v>
      </c>
      <c r="J1216" s="444"/>
    </row>
    <row r="1217" spans="1:10" s="506" customFormat="1" ht="15" customHeight="1">
      <c r="A1217" s="512"/>
      <c r="B1217" s="514"/>
      <c r="C1217" s="3315" t="s">
        <v>315</v>
      </c>
      <c r="D1217" s="3316" t="s">
        <v>573</v>
      </c>
      <c r="E1217" s="3101">
        <v>654705</v>
      </c>
      <c r="F1217" s="3100">
        <v>691823</v>
      </c>
      <c r="G1217" s="3118">
        <v>689954.55</v>
      </c>
      <c r="H1217" s="3193">
        <f t="shared" si="150"/>
        <v>0.9972992369435536</v>
      </c>
      <c r="J1217" s="444"/>
    </row>
    <row r="1218" spans="1:10" s="506" customFormat="1" ht="15" customHeight="1">
      <c r="A1218" s="512"/>
      <c r="B1218" s="514"/>
      <c r="C1218" s="3315" t="s">
        <v>314</v>
      </c>
      <c r="D1218" s="3316" t="s">
        <v>574</v>
      </c>
      <c r="E1218" s="3101">
        <v>92927</v>
      </c>
      <c r="F1218" s="3100">
        <v>90964</v>
      </c>
      <c r="G1218" s="3118">
        <v>89199.9</v>
      </c>
      <c r="H1218" s="3193">
        <f t="shared" si="150"/>
        <v>0.98060661360538226</v>
      </c>
      <c r="J1218" s="444"/>
    </row>
    <row r="1219" spans="1:10" s="506" customFormat="1" ht="15" customHeight="1">
      <c r="A1219" s="512"/>
      <c r="B1219" s="514"/>
      <c r="C1219" s="3346" t="s">
        <v>319</v>
      </c>
      <c r="D1219" s="3347" t="s">
        <v>575</v>
      </c>
      <c r="E1219" s="3101">
        <v>14400</v>
      </c>
      <c r="F1219" s="3100">
        <v>29400</v>
      </c>
      <c r="G1219" s="3118">
        <v>21160</v>
      </c>
      <c r="H1219" s="3193">
        <f t="shared" si="150"/>
        <v>0.71972789115646263</v>
      </c>
      <c r="J1219" s="444"/>
    </row>
    <row r="1220" spans="1:10" s="506" customFormat="1" ht="15" customHeight="1">
      <c r="A1220" s="512"/>
      <c r="B1220" s="514"/>
      <c r="C1220" s="3348" t="s">
        <v>335</v>
      </c>
      <c r="D1220" s="3349" t="s">
        <v>576</v>
      </c>
      <c r="E1220" s="3101">
        <v>39863</v>
      </c>
      <c r="F1220" s="3100">
        <v>42380</v>
      </c>
      <c r="G1220" s="3118">
        <v>40198.14</v>
      </c>
      <c r="H1220" s="3193">
        <f t="shared" si="150"/>
        <v>0.9485167531854648</v>
      </c>
      <c r="J1220" s="444"/>
    </row>
    <row r="1221" spans="1:10" ht="15" customHeight="1">
      <c r="A1221" s="522"/>
      <c r="B1221" s="522"/>
      <c r="C1221" s="3350"/>
      <c r="D1221" s="3351"/>
      <c r="E1221" s="3126"/>
      <c r="F1221" s="3100"/>
      <c r="G1221" s="3118"/>
      <c r="H1221" s="3352"/>
    </row>
    <row r="1222" spans="1:10" ht="15" customHeight="1">
      <c r="A1222" s="517"/>
      <c r="B1222" s="522"/>
      <c r="C1222" s="5205" t="s">
        <v>577</v>
      </c>
      <c r="D1222" s="5205"/>
      <c r="E1222" s="556">
        <f>SUM(E1223:E1242)</f>
        <v>1133007</v>
      </c>
      <c r="F1222" s="556">
        <f>SUM(F1223:F1242)</f>
        <v>1160247</v>
      </c>
      <c r="G1222" s="1079">
        <f>SUM(G1223:G1242)</f>
        <v>1041931.8</v>
      </c>
      <c r="H1222" s="3193">
        <f t="shared" ref="H1222:H1242" si="152">G1222/F1222</f>
        <v>0.89802585139198809</v>
      </c>
      <c r="J1222" s="444" t="s">
        <v>701</v>
      </c>
    </row>
    <row r="1223" spans="1:10" s="506" customFormat="1" ht="15" customHeight="1">
      <c r="A1223" s="512"/>
      <c r="B1223" s="514"/>
      <c r="C1223" s="3353" t="s">
        <v>363</v>
      </c>
      <c r="D1223" s="3354" t="s">
        <v>578</v>
      </c>
      <c r="E1223" s="3100">
        <v>15037</v>
      </c>
      <c r="F1223" s="3100">
        <v>29893</v>
      </c>
      <c r="G1223" s="3118">
        <v>25970.23</v>
      </c>
      <c r="H1223" s="3193">
        <f t="shared" si="152"/>
        <v>0.86877295687953704</v>
      </c>
      <c r="J1223" s="444"/>
    </row>
    <row r="1224" spans="1:10" ht="15" customHeight="1">
      <c r="A1224" s="517"/>
      <c r="B1224" s="522"/>
      <c r="C1224" s="3353" t="s">
        <v>334</v>
      </c>
      <c r="D1224" s="3354" t="s">
        <v>624</v>
      </c>
      <c r="E1224" s="3100">
        <v>0</v>
      </c>
      <c r="F1224" s="3100">
        <v>18000</v>
      </c>
      <c r="G1224" s="3118">
        <v>18000</v>
      </c>
      <c r="H1224" s="3193">
        <f t="shared" si="152"/>
        <v>1</v>
      </c>
    </row>
    <row r="1225" spans="1:10" s="506" customFormat="1" ht="15" customHeight="1">
      <c r="A1225" s="512"/>
      <c r="B1225" s="514"/>
      <c r="C1225" s="3353" t="s">
        <v>313</v>
      </c>
      <c r="D1225" s="3354" t="s">
        <v>579</v>
      </c>
      <c r="E1225" s="3100">
        <v>216112</v>
      </c>
      <c r="F1225" s="3100">
        <v>223312</v>
      </c>
      <c r="G1225" s="3118">
        <v>212344.04</v>
      </c>
      <c r="H1225" s="3193">
        <f t="shared" si="152"/>
        <v>0.9508850397649925</v>
      </c>
      <c r="J1225" s="444"/>
    </row>
    <row r="1226" spans="1:10" s="506" customFormat="1" ht="15" customHeight="1">
      <c r="A1226" s="512"/>
      <c r="B1226" s="514"/>
      <c r="C1226" s="3353" t="s">
        <v>333</v>
      </c>
      <c r="D1226" s="3354" t="s">
        <v>580</v>
      </c>
      <c r="E1226" s="3100">
        <v>5592</v>
      </c>
      <c r="F1226" s="3100">
        <v>5592</v>
      </c>
      <c r="G1226" s="3118">
        <v>4583.68</v>
      </c>
      <c r="H1226" s="3193">
        <f t="shared" si="152"/>
        <v>0.81968526466380554</v>
      </c>
      <c r="J1226" s="444"/>
    </row>
    <row r="1227" spans="1:10" s="506" customFormat="1" ht="15" customHeight="1">
      <c r="A1227" s="512"/>
      <c r="B1227" s="514"/>
      <c r="C1227" s="3353" t="s">
        <v>331</v>
      </c>
      <c r="D1227" s="3354" t="s">
        <v>581</v>
      </c>
      <c r="E1227" s="3100">
        <v>132039</v>
      </c>
      <c r="F1227" s="3100">
        <v>162039</v>
      </c>
      <c r="G1227" s="3118">
        <v>153797.44</v>
      </c>
      <c r="H1227" s="3193">
        <f t="shared" si="152"/>
        <v>0.94913841729460191</v>
      </c>
      <c r="J1227" s="444"/>
    </row>
    <row r="1228" spans="1:10" s="506" customFormat="1" ht="15" customHeight="1" thickBot="1">
      <c r="A1228" s="565"/>
      <c r="B1228" s="565"/>
      <c r="C1228" s="3355" t="s">
        <v>330</v>
      </c>
      <c r="D1228" s="3356" t="s">
        <v>582</v>
      </c>
      <c r="E1228" s="503">
        <v>166884</v>
      </c>
      <c r="F1228" s="503">
        <v>166884</v>
      </c>
      <c r="G1228" s="702">
        <v>149680.59</v>
      </c>
      <c r="H1228" s="2245">
        <f t="shared" si="152"/>
        <v>0.89691396419069536</v>
      </c>
      <c r="J1228" s="444"/>
    </row>
    <row r="1229" spans="1:10" s="506" customFormat="1" ht="15" customHeight="1">
      <c r="A1229" s="507"/>
      <c r="B1229" s="3303"/>
      <c r="C1229" s="3357" t="s">
        <v>329</v>
      </c>
      <c r="D1229" s="3358" t="s">
        <v>583</v>
      </c>
      <c r="E1229" s="2292">
        <v>4350</v>
      </c>
      <c r="F1229" s="2292">
        <v>4350</v>
      </c>
      <c r="G1229" s="2435">
        <v>3134.5</v>
      </c>
      <c r="H1229" s="2063">
        <f t="shared" si="152"/>
        <v>0.72057471264367812</v>
      </c>
      <c r="J1229" s="444"/>
    </row>
    <row r="1230" spans="1:10" s="506" customFormat="1" ht="15" customHeight="1">
      <c r="A1230" s="514"/>
      <c r="B1230" s="514"/>
      <c r="C1230" s="3132" t="s">
        <v>312</v>
      </c>
      <c r="D1230" s="3359" t="s">
        <v>584</v>
      </c>
      <c r="E1230" s="481">
        <v>347875</v>
      </c>
      <c r="F1230" s="481">
        <v>333564</v>
      </c>
      <c r="G1230" s="604">
        <v>271133.46999999997</v>
      </c>
      <c r="H1230" s="3193">
        <f t="shared" si="152"/>
        <v>0.81283792615510053</v>
      </c>
      <c r="J1230" s="444"/>
    </row>
    <row r="1231" spans="1:10" s="506" customFormat="1" ht="15" customHeight="1">
      <c r="A1231" s="512"/>
      <c r="B1231" s="514"/>
      <c r="C1231" s="3132" t="s">
        <v>328</v>
      </c>
      <c r="D1231" s="3359" t="s">
        <v>585</v>
      </c>
      <c r="E1231" s="481">
        <v>19308</v>
      </c>
      <c r="F1231" s="481">
        <v>14308</v>
      </c>
      <c r="G1231" s="604">
        <v>13153.82</v>
      </c>
      <c r="H1231" s="3193">
        <f t="shared" si="152"/>
        <v>0.91933324014537321</v>
      </c>
      <c r="J1231" s="444"/>
    </row>
    <row r="1232" spans="1:10" s="506" customFormat="1" ht="15" customHeight="1">
      <c r="A1232" s="512"/>
      <c r="B1232" s="514"/>
      <c r="C1232" s="519" t="s">
        <v>327</v>
      </c>
      <c r="D1232" s="532" t="s">
        <v>586</v>
      </c>
      <c r="E1232" s="3578">
        <v>32132</v>
      </c>
      <c r="F1232" s="3578">
        <v>0</v>
      </c>
      <c r="G1232" s="3579">
        <v>0</v>
      </c>
      <c r="H1232" s="4296"/>
      <c r="J1232" s="444"/>
    </row>
    <row r="1233" spans="1:10" s="506" customFormat="1" ht="15" customHeight="1">
      <c r="A1233" s="512"/>
      <c r="B1233" s="514"/>
      <c r="C1233" s="3362" t="s">
        <v>326</v>
      </c>
      <c r="D1233" s="3354" t="s">
        <v>589</v>
      </c>
      <c r="E1233" s="3100">
        <v>12000</v>
      </c>
      <c r="F1233" s="3100">
        <v>12000</v>
      </c>
      <c r="G1233" s="3118">
        <v>10848.86</v>
      </c>
      <c r="H1233" s="3193">
        <f t="shared" si="152"/>
        <v>0.90407166666666672</v>
      </c>
      <c r="J1233" s="444"/>
    </row>
    <row r="1234" spans="1:10" ht="15" customHeight="1">
      <c r="A1234" s="522"/>
      <c r="B1234" s="522"/>
      <c r="C1234" s="3360" t="s">
        <v>590</v>
      </c>
      <c r="D1234" s="3361" t="s">
        <v>591</v>
      </c>
      <c r="E1234" s="3100">
        <v>3000</v>
      </c>
      <c r="F1234" s="3100">
        <v>103</v>
      </c>
      <c r="G1234" s="3118">
        <v>102.26</v>
      </c>
      <c r="H1234" s="3193">
        <f t="shared" si="152"/>
        <v>0.99281553398058253</v>
      </c>
    </row>
    <row r="1235" spans="1:10" s="506" customFormat="1" ht="15" customHeight="1">
      <c r="A1235" s="512"/>
      <c r="B1235" s="514"/>
      <c r="C1235" s="3346" t="s">
        <v>325</v>
      </c>
      <c r="D1235" s="3347" t="s">
        <v>592</v>
      </c>
      <c r="E1235" s="560">
        <v>18037</v>
      </c>
      <c r="F1235" s="481">
        <v>18037</v>
      </c>
      <c r="G1235" s="604">
        <v>16191.01</v>
      </c>
      <c r="H1235" s="3193">
        <f t="shared" si="152"/>
        <v>0.89765537506237181</v>
      </c>
      <c r="J1235" s="444"/>
    </row>
    <row r="1236" spans="1:10" s="506" customFormat="1" ht="15" customHeight="1">
      <c r="A1236" s="512"/>
      <c r="B1236" s="514"/>
      <c r="C1236" s="3363" t="s">
        <v>324</v>
      </c>
      <c r="D1236" s="3364" t="s">
        <v>593</v>
      </c>
      <c r="E1236" s="3101">
        <v>91741</v>
      </c>
      <c r="F1236" s="3100">
        <v>94125</v>
      </c>
      <c r="G1236" s="3118">
        <v>94124.66</v>
      </c>
      <c r="H1236" s="3193">
        <f t="shared" si="152"/>
        <v>0.99999638778220457</v>
      </c>
      <c r="J1236" s="444"/>
    </row>
    <row r="1237" spans="1:10" s="506" customFormat="1" ht="15" customHeight="1">
      <c r="A1237" s="512"/>
      <c r="B1237" s="514"/>
      <c r="C1237" s="3363" t="s">
        <v>323</v>
      </c>
      <c r="D1237" s="3364" t="s">
        <v>594</v>
      </c>
      <c r="E1237" s="3101">
        <v>22640</v>
      </c>
      <c r="F1237" s="3100">
        <v>22640</v>
      </c>
      <c r="G1237" s="3118">
        <v>21793.05</v>
      </c>
      <c r="H1237" s="3193">
        <f t="shared" si="152"/>
        <v>0.9625905477031802</v>
      </c>
      <c r="J1237" s="444"/>
    </row>
    <row r="1238" spans="1:10" s="506" customFormat="1" ht="15" customHeight="1">
      <c r="A1238" s="512"/>
      <c r="B1238" s="514"/>
      <c r="C1238" s="3363" t="s">
        <v>362</v>
      </c>
      <c r="D1238" s="3364" t="s">
        <v>597</v>
      </c>
      <c r="E1238" s="3101">
        <v>20830</v>
      </c>
      <c r="F1238" s="3100">
        <v>20830</v>
      </c>
      <c r="G1238" s="3118">
        <v>18058.04</v>
      </c>
      <c r="H1238" s="3193">
        <f t="shared" si="152"/>
        <v>0.86692462794047054</v>
      </c>
      <c r="J1238" s="444"/>
    </row>
    <row r="1239" spans="1:10" s="506" customFormat="1" ht="15" customHeight="1">
      <c r="A1239" s="512"/>
      <c r="B1239" s="514"/>
      <c r="C1239" s="3365" t="s">
        <v>598</v>
      </c>
      <c r="D1239" s="3364" t="s">
        <v>599</v>
      </c>
      <c r="E1239" s="3101">
        <v>2500</v>
      </c>
      <c r="F1239" s="3100">
        <v>2500</v>
      </c>
      <c r="G1239" s="3118">
        <v>0</v>
      </c>
      <c r="H1239" s="3193">
        <f t="shared" si="152"/>
        <v>0</v>
      </c>
      <c r="J1239" s="444"/>
    </row>
    <row r="1240" spans="1:10" s="506" customFormat="1" ht="15" customHeight="1">
      <c r="A1240" s="512"/>
      <c r="B1240" s="514"/>
      <c r="C1240" s="3338" t="s">
        <v>686</v>
      </c>
      <c r="D1240" s="3364" t="s">
        <v>687</v>
      </c>
      <c r="E1240" s="3101">
        <v>0</v>
      </c>
      <c r="F1240" s="3100">
        <v>716</v>
      </c>
      <c r="G1240" s="3118">
        <v>714.14</v>
      </c>
      <c r="H1240" s="3193">
        <f t="shared" si="152"/>
        <v>0.9974022346368715</v>
      </c>
      <c r="J1240" s="444"/>
    </row>
    <row r="1241" spans="1:10" s="506" customFormat="1" ht="15" customHeight="1">
      <c r="A1241" s="512"/>
      <c r="B1241" s="514"/>
      <c r="C1241" s="563" t="s">
        <v>647</v>
      </c>
      <c r="D1241" s="3364" t="s">
        <v>648</v>
      </c>
      <c r="E1241" s="3101">
        <v>1600</v>
      </c>
      <c r="F1241" s="3100">
        <v>8127</v>
      </c>
      <c r="G1241" s="3118">
        <v>7331.33</v>
      </c>
      <c r="H1241" s="3193">
        <f t="shared" si="152"/>
        <v>0.90209548418850749</v>
      </c>
      <c r="J1241" s="444"/>
    </row>
    <row r="1242" spans="1:10" s="506" customFormat="1" ht="15" customHeight="1">
      <c r="A1242" s="512"/>
      <c r="B1242" s="514"/>
      <c r="C1242" s="3366" t="s">
        <v>322</v>
      </c>
      <c r="D1242" s="3367" t="s">
        <v>600</v>
      </c>
      <c r="E1242" s="3101">
        <v>21330</v>
      </c>
      <c r="F1242" s="3100">
        <v>23227</v>
      </c>
      <c r="G1242" s="3118">
        <v>20970.68</v>
      </c>
      <c r="H1242" s="3193">
        <f t="shared" si="152"/>
        <v>0.90285788091445307</v>
      </c>
      <c r="J1242" s="444"/>
    </row>
    <row r="1243" spans="1:10" ht="13.5" customHeight="1">
      <c r="A1243" s="517"/>
      <c r="B1243" s="522"/>
      <c r="C1243" s="3368"/>
      <c r="D1243" s="3351"/>
      <c r="E1243" s="3126"/>
      <c r="F1243" s="3126"/>
      <c r="G1243" s="3127"/>
      <c r="H1243" s="3242"/>
    </row>
    <row r="1244" spans="1:10" s="506" customFormat="1" ht="15" customHeight="1">
      <c r="A1244" s="512"/>
      <c r="B1244" s="514"/>
      <c r="C1244" s="5132" t="s">
        <v>640</v>
      </c>
      <c r="D1244" s="5132"/>
      <c r="E1244" s="481">
        <f>SUM(E1245)</f>
        <v>950000</v>
      </c>
      <c r="F1244" s="481">
        <f>SUM(F1245)</f>
        <v>935823</v>
      </c>
      <c r="G1244" s="604">
        <f>SUM(G1245)</f>
        <v>901664.95</v>
      </c>
      <c r="H1244" s="3193">
        <f>G1244/F1244</f>
        <v>0.96349945449085983</v>
      </c>
      <c r="J1244" s="444" t="s">
        <v>701</v>
      </c>
    </row>
    <row r="1245" spans="1:10" s="506" customFormat="1" ht="51">
      <c r="A1245" s="512"/>
      <c r="B1245" s="514"/>
      <c r="C1245" s="3353" t="s">
        <v>91</v>
      </c>
      <c r="D1245" s="3354" t="s">
        <v>649</v>
      </c>
      <c r="E1245" s="3100">
        <v>950000</v>
      </c>
      <c r="F1245" s="3100">
        <v>935823</v>
      </c>
      <c r="G1245" s="3118">
        <v>901664.95</v>
      </c>
      <c r="H1245" s="3193">
        <f>G1245/F1245</f>
        <v>0.96349945449085983</v>
      </c>
      <c r="J1245" s="444"/>
    </row>
    <row r="1246" spans="1:10" ht="13.5" customHeight="1">
      <c r="A1246" s="517"/>
      <c r="B1246" s="522"/>
      <c r="C1246" s="561"/>
      <c r="D1246" s="561"/>
      <c r="E1246" s="3126"/>
      <c r="F1246" s="3126"/>
      <c r="G1246" s="3127"/>
      <c r="H1246" s="3242"/>
    </row>
    <row r="1247" spans="1:10" s="506" customFormat="1" ht="15" customHeight="1">
      <c r="A1247" s="512"/>
      <c r="B1247" s="572"/>
      <c r="C1247" s="5206" t="s">
        <v>601</v>
      </c>
      <c r="D1247" s="5206"/>
      <c r="E1247" s="3293">
        <f>SUM(E1248)</f>
        <v>16287</v>
      </c>
      <c r="F1247" s="3293">
        <f>SUM(F1248)</f>
        <v>54814</v>
      </c>
      <c r="G1247" s="3294">
        <f>SUM(G1248)</f>
        <v>53579.17</v>
      </c>
      <c r="H1247" s="3193">
        <f>G1247/F1247</f>
        <v>0.97747236107563762</v>
      </c>
      <c r="J1247" s="444" t="s">
        <v>701</v>
      </c>
    </row>
    <row r="1248" spans="1:10" s="506" customFormat="1" ht="15" customHeight="1">
      <c r="A1248" s="512"/>
      <c r="B1248" s="572"/>
      <c r="C1248" s="3353" t="s">
        <v>321</v>
      </c>
      <c r="D1248" s="3354" t="s">
        <v>602</v>
      </c>
      <c r="E1248" s="3100">
        <v>16287</v>
      </c>
      <c r="F1248" s="3100">
        <v>54814</v>
      </c>
      <c r="G1248" s="3118">
        <v>53579.17</v>
      </c>
      <c r="H1248" s="3193">
        <f>G1248/F1248</f>
        <v>0.97747236107563762</v>
      </c>
      <c r="J1248" s="444"/>
    </row>
    <row r="1249" spans="1:10" ht="12.75" customHeight="1">
      <c r="A1249" s="517"/>
      <c r="B1249" s="623"/>
      <c r="C1249" s="3369"/>
      <c r="D1249" s="3370"/>
      <c r="E1249" s="3126"/>
      <c r="F1249" s="3126"/>
      <c r="G1249" s="3127"/>
      <c r="H1249" s="3242"/>
    </row>
    <row r="1250" spans="1:10" s="506" customFormat="1" ht="15" customHeight="1">
      <c r="A1250" s="512"/>
      <c r="B1250" s="572"/>
      <c r="C1250" s="5207" t="s">
        <v>603</v>
      </c>
      <c r="D1250" s="5207"/>
      <c r="E1250" s="3330">
        <f>SUM(E1251)</f>
        <v>1002200</v>
      </c>
      <c r="F1250" s="3331">
        <f>SUM(F1251)</f>
        <v>1002200</v>
      </c>
      <c r="G1250" s="3332">
        <f>SUM(G1251)</f>
        <v>997012.19</v>
      </c>
      <c r="H1250" s="3199">
        <f t="shared" ref="H1250:H1281" si="153">G1250/F1250</f>
        <v>0.99482357812811806</v>
      </c>
      <c r="J1250" s="444" t="s">
        <v>701</v>
      </c>
    </row>
    <row r="1251" spans="1:10" s="506" customFormat="1" ht="15" customHeight="1">
      <c r="A1251" s="512"/>
      <c r="B1251" s="572"/>
      <c r="C1251" s="5208" t="s">
        <v>604</v>
      </c>
      <c r="D1251" s="5209"/>
      <c r="E1251" s="3101">
        <f>SUM(E1252:E1253)</f>
        <v>1002200</v>
      </c>
      <c r="F1251" s="3100">
        <f>SUM(F1252:F1253)</f>
        <v>1002200</v>
      </c>
      <c r="G1251" s="3118">
        <f>SUM(G1252:G1253)</f>
        <v>997012.19</v>
      </c>
      <c r="H1251" s="3193">
        <f t="shared" si="153"/>
        <v>0.99482357812811806</v>
      </c>
      <c r="J1251" s="444"/>
    </row>
    <row r="1252" spans="1:10" s="506" customFormat="1" ht="15" customHeight="1">
      <c r="A1252" s="512"/>
      <c r="B1252" s="572"/>
      <c r="C1252" s="3322" t="s">
        <v>339</v>
      </c>
      <c r="D1252" s="3372" t="s">
        <v>671</v>
      </c>
      <c r="E1252" s="3101">
        <v>711000</v>
      </c>
      <c r="F1252" s="3100">
        <v>711000</v>
      </c>
      <c r="G1252" s="3118">
        <v>710650.97</v>
      </c>
      <c r="H1252" s="3193">
        <f t="shared" si="153"/>
        <v>0.99950909985935299</v>
      </c>
      <c r="J1252" s="444"/>
    </row>
    <row r="1253" spans="1:10" s="506" customFormat="1" ht="15" customHeight="1" thickBot="1">
      <c r="A1253" s="512"/>
      <c r="B1253" s="572"/>
      <c r="C1253" s="3324" t="s">
        <v>354</v>
      </c>
      <c r="D1253" s="3372" t="s">
        <v>605</v>
      </c>
      <c r="E1253" s="560">
        <v>291200</v>
      </c>
      <c r="F1253" s="481">
        <v>291200</v>
      </c>
      <c r="G1253" s="604">
        <v>286361.21999999997</v>
      </c>
      <c r="H1253" s="701">
        <f t="shared" si="153"/>
        <v>0.9833833104395604</v>
      </c>
      <c r="J1253" s="444"/>
    </row>
    <row r="1254" spans="1:10" s="506" customFormat="1" ht="15" customHeight="1" thickBot="1">
      <c r="A1254" s="512"/>
      <c r="B1254" s="508" t="s">
        <v>913</v>
      </c>
      <c r="C1254" s="2344"/>
      <c r="D1254" s="2345" t="s">
        <v>378</v>
      </c>
      <c r="E1254" s="511">
        <f>SUM(E1255,E1283)</f>
        <v>21431283</v>
      </c>
      <c r="F1254" s="485">
        <f>SUM(F1255,F1283)</f>
        <v>14921088</v>
      </c>
      <c r="G1254" s="534">
        <f>SUM(G1255,G1283)</f>
        <v>13511186.34</v>
      </c>
      <c r="H1254" s="699">
        <f t="shared" si="153"/>
        <v>0.90550946016805212</v>
      </c>
      <c r="J1254" s="444"/>
    </row>
    <row r="1255" spans="1:10" s="506" customFormat="1" ht="15" customHeight="1">
      <c r="A1255" s="512"/>
      <c r="B1255" s="3373"/>
      <c r="C1255" s="5173" t="s">
        <v>567</v>
      </c>
      <c r="D1255" s="5173"/>
      <c r="E1255" s="558">
        <f>SUM(E1256)</f>
        <v>21431283</v>
      </c>
      <c r="F1255" s="486">
        <f t="shared" ref="F1255:G1255" si="154">SUM(F1256)</f>
        <v>14906088</v>
      </c>
      <c r="G1255" s="605">
        <f t="shared" si="154"/>
        <v>13496351.49</v>
      </c>
      <c r="H1255" s="3199">
        <f t="shared" si="153"/>
        <v>0.90542545368040228</v>
      </c>
      <c r="J1255" s="444"/>
    </row>
    <row r="1256" spans="1:10" s="506" customFormat="1" ht="15" customHeight="1">
      <c r="A1256" s="512"/>
      <c r="B1256" s="572"/>
      <c r="C1256" s="5198" t="s">
        <v>608</v>
      </c>
      <c r="D1256" s="5199"/>
      <c r="E1256" s="3101">
        <f>SUM(E1257:E1281)</f>
        <v>21431283</v>
      </c>
      <c r="F1256" s="3100">
        <f>SUM(F1257:F1281)</f>
        <v>14906088</v>
      </c>
      <c r="G1256" s="3118">
        <f>SUM(G1257:G1281)</f>
        <v>13496351.49</v>
      </c>
      <c r="H1256" s="3193">
        <f t="shared" si="153"/>
        <v>0.90542545368040228</v>
      </c>
      <c r="J1256" s="444" t="s">
        <v>654</v>
      </c>
    </row>
    <row r="1257" spans="1:10" s="506" customFormat="1" ht="15" customHeight="1">
      <c r="A1257" s="512"/>
      <c r="B1257" s="572"/>
      <c r="C1257" s="3374" t="s">
        <v>655</v>
      </c>
      <c r="D1257" s="3375" t="s">
        <v>656</v>
      </c>
      <c r="E1257" s="3101">
        <v>0</v>
      </c>
      <c r="F1257" s="3100">
        <v>707752</v>
      </c>
      <c r="G1257" s="3118">
        <v>707751.95</v>
      </c>
      <c r="H1257" s="3193">
        <f t="shared" si="153"/>
        <v>0.9999999293537849</v>
      </c>
      <c r="J1257" s="444"/>
    </row>
    <row r="1258" spans="1:10" s="506" customFormat="1" ht="15" customHeight="1">
      <c r="A1258" s="512"/>
      <c r="B1258" s="572"/>
      <c r="C1258" s="3376" t="s">
        <v>722</v>
      </c>
      <c r="D1258" s="3377" t="s">
        <v>571</v>
      </c>
      <c r="E1258" s="3101">
        <v>1163245</v>
      </c>
      <c r="F1258" s="3100">
        <v>1347370</v>
      </c>
      <c r="G1258" s="3118">
        <v>1335183.82</v>
      </c>
      <c r="H1258" s="3193">
        <f t="shared" si="153"/>
        <v>0.99095558013017959</v>
      </c>
      <c r="J1258" s="444"/>
    </row>
    <row r="1259" spans="1:10" s="506" customFormat="1" ht="15" customHeight="1" thickBot="1">
      <c r="A1259" s="593"/>
      <c r="B1259" s="3378"/>
      <c r="C1259" s="3379" t="s">
        <v>614</v>
      </c>
      <c r="D1259" s="3380" t="s">
        <v>571</v>
      </c>
      <c r="E1259" s="567">
        <v>205279</v>
      </c>
      <c r="F1259" s="503">
        <v>237772</v>
      </c>
      <c r="G1259" s="702">
        <v>235620.76</v>
      </c>
      <c r="H1259" s="2245">
        <f t="shared" si="153"/>
        <v>0.99095250912638999</v>
      </c>
      <c r="J1259" s="444"/>
    </row>
    <row r="1260" spans="1:10" s="506" customFormat="1" ht="15" customHeight="1">
      <c r="A1260" s="507"/>
      <c r="B1260" s="3373"/>
      <c r="C1260" s="3381" t="s">
        <v>914</v>
      </c>
      <c r="D1260" s="3382" t="s">
        <v>572</v>
      </c>
      <c r="E1260" s="2826">
        <v>32375</v>
      </c>
      <c r="F1260" s="2292">
        <v>2588</v>
      </c>
      <c r="G1260" s="2435">
        <v>2587.17</v>
      </c>
      <c r="H1260" s="2063">
        <f t="shared" si="153"/>
        <v>0.99967928902627512</v>
      </c>
      <c r="J1260" s="444"/>
    </row>
    <row r="1261" spans="1:10" s="506" customFormat="1" ht="15" customHeight="1">
      <c r="A1261" s="512"/>
      <c r="B1261" s="572"/>
      <c r="C1261" s="3376" t="s">
        <v>616</v>
      </c>
      <c r="D1261" s="3377" t="s">
        <v>572</v>
      </c>
      <c r="E1261" s="3101">
        <v>5713</v>
      </c>
      <c r="F1261" s="3100">
        <v>457</v>
      </c>
      <c r="G1261" s="3118">
        <v>456.56</v>
      </c>
      <c r="H1261" s="3193">
        <f t="shared" si="153"/>
        <v>0.99903719912472644</v>
      </c>
      <c r="J1261" s="444"/>
    </row>
    <row r="1262" spans="1:10" s="506" customFormat="1" ht="15" customHeight="1">
      <c r="A1262" s="512"/>
      <c r="B1262" s="572"/>
      <c r="C1262" s="3376" t="s">
        <v>723</v>
      </c>
      <c r="D1262" s="3377" t="s">
        <v>573</v>
      </c>
      <c r="E1262" s="3101">
        <v>205526</v>
      </c>
      <c r="F1262" s="3100">
        <v>228159</v>
      </c>
      <c r="G1262" s="3118">
        <v>224291.88</v>
      </c>
      <c r="H1262" s="3193">
        <f t="shared" si="153"/>
        <v>0.98305076722811724</v>
      </c>
      <c r="J1262" s="444"/>
    </row>
    <row r="1263" spans="1:10" s="506" customFormat="1" ht="15" customHeight="1">
      <c r="A1263" s="512"/>
      <c r="B1263" s="572"/>
      <c r="C1263" s="3376" t="s">
        <v>618</v>
      </c>
      <c r="D1263" s="3377" t="s">
        <v>573</v>
      </c>
      <c r="E1263" s="3101">
        <v>36270</v>
      </c>
      <c r="F1263" s="3100">
        <v>40263</v>
      </c>
      <c r="G1263" s="3118">
        <v>39581</v>
      </c>
      <c r="H1263" s="3193">
        <f t="shared" si="153"/>
        <v>0.9830613714825025</v>
      </c>
      <c r="J1263" s="444"/>
    </row>
    <row r="1264" spans="1:10" s="506" customFormat="1" ht="15" customHeight="1">
      <c r="A1264" s="512"/>
      <c r="B1264" s="572"/>
      <c r="C1264" s="3376" t="s">
        <v>724</v>
      </c>
      <c r="D1264" s="3377" t="s">
        <v>574</v>
      </c>
      <c r="E1264" s="3101">
        <v>29294</v>
      </c>
      <c r="F1264" s="3100">
        <v>31610</v>
      </c>
      <c r="G1264" s="3118">
        <v>31360.98</v>
      </c>
      <c r="H1264" s="3193">
        <f t="shared" si="153"/>
        <v>0.99212211325529898</v>
      </c>
      <c r="J1264" s="444"/>
    </row>
    <row r="1265" spans="1:10" s="506" customFormat="1" ht="15" customHeight="1">
      <c r="A1265" s="514"/>
      <c r="B1265" s="572"/>
      <c r="C1265" s="3383" t="s">
        <v>620</v>
      </c>
      <c r="D1265" s="3384" t="s">
        <v>574</v>
      </c>
      <c r="E1265" s="3101">
        <v>5169</v>
      </c>
      <c r="F1265" s="3100">
        <v>5578</v>
      </c>
      <c r="G1265" s="3118">
        <v>5534.26</v>
      </c>
      <c r="H1265" s="3193">
        <f t="shared" si="153"/>
        <v>0.99215847974184301</v>
      </c>
      <c r="J1265" s="444"/>
    </row>
    <row r="1266" spans="1:10" s="506" customFormat="1" ht="15" customHeight="1">
      <c r="A1266" s="512"/>
      <c r="B1266" s="572"/>
      <c r="C1266" s="3346" t="s">
        <v>708</v>
      </c>
      <c r="D1266" s="3347" t="s">
        <v>579</v>
      </c>
      <c r="E1266" s="3101">
        <v>229500</v>
      </c>
      <c r="F1266" s="3100">
        <v>383357</v>
      </c>
      <c r="G1266" s="3118">
        <v>328117.33</v>
      </c>
      <c r="H1266" s="3193">
        <f t="shared" si="153"/>
        <v>0.85590540931820736</v>
      </c>
      <c r="J1266" s="444"/>
    </row>
    <row r="1267" spans="1:10" s="506" customFormat="1" ht="15" customHeight="1">
      <c r="A1267" s="512"/>
      <c r="B1267" s="572"/>
      <c r="C1267" s="3376" t="s">
        <v>627</v>
      </c>
      <c r="D1267" s="3377" t="s">
        <v>579</v>
      </c>
      <c r="E1267" s="3101">
        <v>40500</v>
      </c>
      <c r="F1267" s="3100">
        <v>67651</v>
      </c>
      <c r="G1267" s="3118">
        <v>57903.08</v>
      </c>
      <c r="H1267" s="3193">
        <f t="shared" si="153"/>
        <v>0.85590870792745122</v>
      </c>
      <c r="J1267" s="444"/>
    </row>
    <row r="1268" spans="1:10" s="444" customFormat="1" ht="15" customHeight="1">
      <c r="A1268" s="477"/>
      <c r="B1268" s="572"/>
      <c r="C1268" s="3385" t="s">
        <v>859</v>
      </c>
      <c r="D1268" s="3386" t="s">
        <v>580</v>
      </c>
      <c r="E1268" s="3100">
        <v>8500</v>
      </c>
      <c r="F1268" s="3100">
        <v>8500</v>
      </c>
      <c r="G1268" s="3118">
        <v>0</v>
      </c>
      <c r="H1268" s="3193">
        <f t="shared" si="153"/>
        <v>0</v>
      </c>
    </row>
    <row r="1269" spans="1:10" s="444" customFormat="1" ht="15" customHeight="1">
      <c r="A1269" s="477"/>
      <c r="B1269" s="572"/>
      <c r="C1269" s="3385" t="s">
        <v>792</v>
      </c>
      <c r="D1269" s="3386" t="s">
        <v>580</v>
      </c>
      <c r="E1269" s="3100">
        <v>1500</v>
      </c>
      <c r="F1269" s="3100">
        <v>1500</v>
      </c>
      <c r="G1269" s="3118">
        <v>0</v>
      </c>
      <c r="H1269" s="3193">
        <f t="shared" si="153"/>
        <v>0</v>
      </c>
    </row>
    <row r="1270" spans="1:10" s="506" customFormat="1" ht="15" customHeight="1">
      <c r="A1270" s="512"/>
      <c r="B1270" s="572"/>
      <c r="C1270" s="3376" t="s">
        <v>726</v>
      </c>
      <c r="D1270" s="3377" t="s">
        <v>584</v>
      </c>
      <c r="E1270" s="3101">
        <v>15836100</v>
      </c>
      <c r="F1270" s="3100">
        <v>9248153</v>
      </c>
      <c r="G1270" s="3118">
        <v>8220529.9400000004</v>
      </c>
      <c r="H1270" s="3193">
        <f t="shared" si="153"/>
        <v>0.88888342785851404</v>
      </c>
      <c r="J1270" s="444"/>
    </row>
    <row r="1271" spans="1:10" s="506" customFormat="1" ht="15" customHeight="1">
      <c r="A1271" s="512"/>
      <c r="B1271" s="572"/>
      <c r="C1271" s="3376" t="s">
        <v>631</v>
      </c>
      <c r="D1271" s="3377" t="s">
        <v>584</v>
      </c>
      <c r="E1271" s="3101">
        <v>2794606</v>
      </c>
      <c r="F1271" s="3100">
        <v>1632026</v>
      </c>
      <c r="G1271" s="3118">
        <v>1450681.93</v>
      </c>
      <c r="H1271" s="3193">
        <f t="shared" si="153"/>
        <v>0.88888408027813282</v>
      </c>
      <c r="J1271" s="444"/>
    </row>
    <row r="1272" spans="1:10" ht="15" customHeight="1">
      <c r="A1272" s="517"/>
      <c r="B1272" s="572"/>
      <c r="C1272" s="3387" t="s">
        <v>756</v>
      </c>
      <c r="D1272" s="3388" t="s">
        <v>742</v>
      </c>
      <c r="E1272" s="3100">
        <v>0</v>
      </c>
      <c r="F1272" s="3100">
        <v>217515</v>
      </c>
      <c r="G1272" s="3118">
        <v>139745.1</v>
      </c>
      <c r="H1272" s="3193">
        <f t="shared" si="153"/>
        <v>0.64246189917936691</v>
      </c>
    </row>
    <row r="1273" spans="1:10" ht="15" customHeight="1">
      <c r="A1273" s="517"/>
      <c r="B1273" s="572"/>
      <c r="C1273" s="3387" t="s">
        <v>758</v>
      </c>
      <c r="D1273" s="3389" t="s">
        <v>742</v>
      </c>
      <c r="E1273" s="3100">
        <v>0</v>
      </c>
      <c r="F1273" s="3100">
        <v>38385</v>
      </c>
      <c r="G1273" s="3118">
        <v>24660.9</v>
      </c>
      <c r="H1273" s="3193">
        <f t="shared" si="153"/>
        <v>0.64246189917936702</v>
      </c>
    </row>
    <row r="1274" spans="1:10" s="444" customFormat="1" ht="28.5" customHeight="1">
      <c r="A1274" s="477"/>
      <c r="B1274" s="572"/>
      <c r="C1274" s="3390" t="s">
        <v>865</v>
      </c>
      <c r="D1274" s="3359" t="s">
        <v>588</v>
      </c>
      <c r="E1274" s="3100">
        <v>663000</v>
      </c>
      <c r="F1274" s="3100">
        <v>556621</v>
      </c>
      <c r="G1274" s="3118">
        <v>556620.6</v>
      </c>
      <c r="H1274" s="3193">
        <f t="shared" si="153"/>
        <v>0.99999928137817284</v>
      </c>
    </row>
    <row r="1275" spans="1:10" s="444" customFormat="1" ht="27.75" customHeight="1">
      <c r="A1275" s="479"/>
      <c r="B1275" s="572"/>
      <c r="C1275" s="531" t="s">
        <v>800</v>
      </c>
      <c r="D1275" s="3359" t="s">
        <v>588</v>
      </c>
      <c r="E1275" s="481">
        <v>117000</v>
      </c>
      <c r="F1275" s="481">
        <v>98228</v>
      </c>
      <c r="G1275" s="604">
        <v>98227.199999999997</v>
      </c>
      <c r="H1275" s="3193">
        <f t="shared" si="153"/>
        <v>0.99999185568269733</v>
      </c>
    </row>
    <row r="1276" spans="1:10" s="506" customFormat="1" ht="15" customHeight="1">
      <c r="A1276" s="512"/>
      <c r="B1276" s="572"/>
      <c r="C1276" s="3391" t="s">
        <v>727</v>
      </c>
      <c r="D1276" s="3392" t="s">
        <v>589</v>
      </c>
      <c r="E1276" s="3101">
        <v>8500</v>
      </c>
      <c r="F1276" s="3100">
        <v>10200</v>
      </c>
      <c r="G1276" s="3118">
        <v>2692.21</v>
      </c>
      <c r="H1276" s="3193">
        <f t="shared" si="153"/>
        <v>0.26394215686274508</v>
      </c>
      <c r="J1276" s="444"/>
    </row>
    <row r="1277" spans="1:10" s="506" customFormat="1" ht="15" customHeight="1">
      <c r="A1277" s="512"/>
      <c r="B1277" s="572"/>
      <c r="C1277" s="3376" t="s">
        <v>633</v>
      </c>
      <c r="D1277" s="3347" t="s">
        <v>589</v>
      </c>
      <c r="E1277" s="3393">
        <v>1500</v>
      </c>
      <c r="F1277" s="3394">
        <v>1800</v>
      </c>
      <c r="G1277" s="3395">
        <v>475.11</v>
      </c>
      <c r="H1277" s="3193">
        <f t="shared" si="153"/>
        <v>0.26395000000000002</v>
      </c>
      <c r="J1277" s="444"/>
    </row>
    <row r="1278" spans="1:10" s="506" customFormat="1" ht="15" customHeight="1">
      <c r="A1278" s="512"/>
      <c r="B1278" s="572"/>
      <c r="C1278" s="3396" t="s">
        <v>915</v>
      </c>
      <c r="D1278" s="3397" t="s">
        <v>593</v>
      </c>
      <c r="E1278" s="3393">
        <v>22617</v>
      </c>
      <c r="F1278" s="3394">
        <v>22617</v>
      </c>
      <c r="G1278" s="3395">
        <v>22617</v>
      </c>
      <c r="H1278" s="3193">
        <f t="shared" si="153"/>
        <v>1</v>
      </c>
      <c r="J1278" s="444"/>
    </row>
    <row r="1279" spans="1:10" s="506" customFormat="1" ht="15" customHeight="1">
      <c r="A1279" s="512"/>
      <c r="B1279" s="572"/>
      <c r="C1279" s="3322" t="s">
        <v>916</v>
      </c>
      <c r="D1279" s="3397" t="s">
        <v>593</v>
      </c>
      <c r="E1279" s="3393">
        <v>3991</v>
      </c>
      <c r="F1279" s="3394">
        <v>3991</v>
      </c>
      <c r="G1279" s="3395">
        <v>3991</v>
      </c>
      <c r="H1279" s="3193">
        <f t="shared" si="153"/>
        <v>1</v>
      </c>
      <c r="J1279" s="444"/>
    </row>
    <row r="1280" spans="1:10" s="506" customFormat="1" ht="15" customHeight="1">
      <c r="A1280" s="512"/>
      <c r="B1280" s="572"/>
      <c r="C1280" s="3398" t="s">
        <v>730</v>
      </c>
      <c r="D1280" s="3399" t="s">
        <v>576</v>
      </c>
      <c r="E1280" s="3393">
        <v>17933</v>
      </c>
      <c r="F1280" s="3394">
        <v>11896</v>
      </c>
      <c r="G1280" s="3395">
        <v>6563.39</v>
      </c>
      <c r="H1280" s="3193">
        <f t="shared" si="153"/>
        <v>0.55173083389374578</v>
      </c>
      <c r="J1280" s="444"/>
    </row>
    <row r="1281" spans="1:10" s="506" customFormat="1" ht="15" customHeight="1">
      <c r="A1281" s="512"/>
      <c r="B1281" s="572"/>
      <c r="C1281" s="3398" t="s">
        <v>639</v>
      </c>
      <c r="D1281" s="3400" t="s">
        <v>576</v>
      </c>
      <c r="E1281" s="3393">
        <v>3165</v>
      </c>
      <c r="F1281" s="3394">
        <v>2099</v>
      </c>
      <c r="G1281" s="3395">
        <v>1158.32</v>
      </c>
      <c r="H1281" s="3193">
        <f t="shared" si="153"/>
        <v>0.55184373511195806</v>
      </c>
      <c r="J1281" s="444"/>
    </row>
    <row r="1282" spans="1:10" ht="15" customHeight="1">
      <c r="A1282" s="517"/>
      <c r="B1282" s="572"/>
      <c r="C1282" s="3401"/>
      <c r="D1282" s="3402"/>
      <c r="E1282" s="482"/>
      <c r="F1282" s="481"/>
      <c r="G1282" s="604"/>
      <c r="H1282" s="3193"/>
    </row>
    <row r="1283" spans="1:10" s="506" customFormat="1" ht="15" customHeight="1">
      <c r="A1283" s="512"/>
      <c r="B1283" s="572"/>
      <c r="C1283" s="5200" t="s">
        <v>603</v>
      </c>
      <c r="D1283" s="5200"/>
      <c r="E1283" s="3403">
        <f t="shared" ref="E1283:G1283" si="155">SUM(E1284)</f>
        <v>0</v>
      </c>
      <c r="F1283" s="3404">
        <f t="shared" si="155"/>
        <v>15000</v>
      </c>
      <c r="G1283" s="3405">
        <f t="shared" si="155"/>
        <v>14834.85</v>
      </c>
      <c r="H1283" s="3199">
        <f t="shared" ref="H1283:H1299" si="156">G1283/F1283</f>
        <v>0.98899000000000004</v>
      </c>
      <c r="J1283" s="444"/>
    </row>
    <row r="1284" spans="1:10" s="506" customFormat="1" ht="15" customHeight="1">
      <c r="A1284" s="512"/>
      <c r="B1284" s="572"/>
      <c r="C1284" s="5201" t="s">
        <v>604</v>
      </c>
      <c r="D1284" s="5202"/>
      <c r="E1284" s="3406">
        <f>SUM(E1285:E1287)</f>
        <v>0</v>
      </c>
      <c r="F1284" s="3407">
        <f t="shared" ref="F1284:G1284" si="157">SUM(F1285:F1287)</f>
        <v>15000</v>
      </c>
      <c r="G1284" s="3408">
        <f t="shared" si="157"/>
        <v>14834.85</v>
      </c>
      <c r="H1284" s="3193">
        <f t="shared" si="156"/>
        <v>0.98899000000000004</v>
      </c>
      <c r="J1284" s="444"/>
    </row>
    <row r="1285" spans="1:10" s="506" customFormat="1" ht="15" customHeight="1">
      <c r="A1285" s="512"/>
      <c r="B1285" s="572"/>
      <c r="C1285" s="3409" t="s">
        <v>668</v>
      </c>
      <c r="D1285" s="3410" t="s">
        <v>605</v>
      </c>
      <c r="E1285" s="3406">
        <v>0</v>
      </c>
      <c r="F1285" s="3407">
        <v>11814</v>
      </c>
      <c r="G1285" s="3408">
        <v>11814.15</v>
      </c>
      <c r="H1285" s="3193">
        <f t="shared" si="156"/>
        <v>1.0000126968004062</v>
      </c>
      <c r="J1285" s="444"/>
    </row>
    <row r="1286" spans="1:10" s="506" customFormat="1" ht="15" customHeight="1">
      <c r="A1286" s="512"/>
      <c r="B1286" s="572"/>
      <c r="C1286" s="3411" t="s">
        <v>365</v>
      </c>
      <c r="D1286" s="3412" t="s">
        <v>605</v>
      </c>
      <c r="E1286" s="560">
        <v>0</v>
      </c>
      <c r="F1286" s="481">
        <v>2250</v>
      </c>
      <c r="G1286" s="604">
        <v>2084.85</v>
      </c>
      <c r="H1286" s="3413">
        <f t="shared" si="156"/>
        <v>0.92659999999999998</v>
      </c>
      <c r="J1286" s="444"/>
    </row>
    <row r="1287" spans="1:10" s="506" customFormat="1" ht="27.75" customHeight="1">
      <c r="A1287" s="512"/>
      <c r="B1287" s="572"/>
      <c r="C1287" s="3414" t="s">
        <v>677</v>
      </c>
      <c r="D1287" s="3415" t="s">
        <v>678</v>
      </c>
      <c r="E1287" s="560">
        <v>0</v>
      </c>
      <c r="F1287" s="481">
        <v>936</v>
      </c>
      <c r="G1287" s="604">
        <v>935.85</v>
      </c>
      <c r="H1287" s="1347">
        <f t="shared" si="156"/>
        <v>0.99983974358974359</v>
      </c>
      <c r="J1287" s="444"/>
    </row>
    <row r="1288" spans="1:10" s="506" customFormat="1" ht="15" customHeight="1" thickBot="1">
      <c r="A1288" s="593"/>
      <c r="B1288" s="3378"/>
      <c r="C1288" s="3317"/>
      <c r="D1288" s="3318"/>
      <c r="E1288" s="3416"/>
      <c r="F1288" s="608"/>
      <c r="G1288" s="1309"/>
      <c r="H1288" s="3417"/>
      <c r="J1288" s="444"/>
    </row>
    <row r="1289" spans="1:10" ht="15">
      <c r="A1289" s="2431"/>
      <c r="B1289" s="3373"/>
      <c r="C1289" s="5203" t="s">
        <v>669</v>
      </c>
      <c r="D1289" s="5204"/>
      <c r="E1289" s="2826">
        <f>SUM(E1290:E1292)</f>
        <v>0</v>
      </c>
      <c r="F1289" s="2292">
        <f t="shared" ref="F1289:G1289" si="158">SUM(F1290:F1292)</f>
        <v>15000</v>
      </c>
      <c r="G1289" s="2435">
        <f t="shared" si="158"/>
        <v>14834.85</v>
      </c>
      <c r="H1289" s="2063">
        <f t="shared" ref="H1289:H1292" si="159">G1289/F1289</f>
        <v>0.98899000000000004</v>
      </c>
    </row>
    <row r="1290" spans="1:10" s="506" customFormat="1" ht="15" customHeight="1">
      <c r="A1290" s="512"/>
      <c r="B1290" s="572"/>
      <c r="C1290" s="3396" t="s">
        <v>668</v>
      </c>
      <c r="D1290" s="3410" t="s">
        <v>605</v>
      </c>
      <c r="E1290" s="3418">
        <v>0</v>
      </c>
      <c r="F1290" s="3419">
        <v>11814</v>
      </c>
      <c r="G1290" s="3420">
        <v>11814.15</v>
      </c>
      <c r="H1290" s="3193">
        <f t="shared" si="159"/>
        <v>1.0000126968004062</v>
      </c>
      <c r="J1290" s="444"/>
    </row>
    <row r="1291" spans="1:10" s="506" customFormat="1" ht="15" customHeight="1">
      <c r="A1291" s="512"/>
      <c r="B1291" s="572"/>
      <c r="C1291" s="3414" t="s">
        <v>365</v>
      </c>
      <c r="D1291" s="3421" t="s">
        <v>605</v>
      </c>
      <c r="E1291" s="560">
        <v>0</v>
      </c>
      <c r="F1291" s="481">
        <v>2250</v>
      </c>
      <c r="G1291" s="604">
        <v>2084.85</v>
      </c>
      <c r="H1291" s="3422">
        <f t="shared" si="159"/>
        <v>0.92659999999999998</v>
      </c>
      <c r="J1291" s="444"/>
    </row>
    <row r="1292" spans="1:10" s="506" customFormat="1" ht="29.25" customHeight="1" thickBot="1">
      <c r="A1292" s="512"/>
      <c r="B1292" s="572"/>
      <c r="C1292" s="3423" t="s">
        <v>677</v>
      </c>
      <c r="D1292" s="3424" t="s">
        <v>678</v>
      </c>
      <c r="E1292" s="560">
        <v>0</v>
      </c>
      <c r="F1292" s="481">
        <v>936</v>
      </c>
      <c r="G1292" s="604">
        <v>935.85</v>
      </c>
      <c r="H1292" s="701">
        <f t="shared" si="159"/>
        <v>0.99983974358974359</v>
      </c>
      <c r="J1292" s="444"/>
    </row>
    <row r="1293" spans="1:10" s="506" customFormat="1" ht="15" customHeight="1" thickBot="1">
      <c r="A1293" s="512"/>
      <c r="B1293" s="508" t="s">
        <v>917</v>
      </c>
      <c r="C1293" s="2344"/>
      <c r="D1293" s="2345" t="s">
        <v>918</v>
      </c>
      <c r="E1293" s="511">
        <f>SUM(E1294)</f>
        <v>0</v>
      </c>
      <c r="F1293" s="485">
        <f t="shared" ref="F1293:G1293" si="160">SUM(F1294)</f>
        <v>200000</v>
      </c>
      <c r="G1293" s="534">
        <f t="shared" si="160"/>
        <v>168012</v>
      </c>
      <c r="H1293" s="699">
        <f t="shared" si="156"/>
        <v>0.84006000000000003</v>
      </c>
      <c r="J1293" s="444"/>
    </row>
    <row r="1294" spans="1:10" s="506" customFormat="1" ht="15" customHeight="1">
      <c r="A1294" s="512"/>
      <c r="B1294" s="626"/>
      <c r="C1294" s="5173" t="s">
        <v>567</v>
      </c>
      <c r="D1294" s="5173"/>
      <c r="E1294" s="558">
        <f t="shared" ref="E1294:G1295" si="161">SUM(E1295)</f>
        <v>0</v>
      </c>
      <c r="F1294" s="486">
        <f t="shared" si="161"/>
        <v>200000</v>
      </c>
      <c r="G1294" s="605">
        <f t="shared" si="161"/>
        <v>168012</v>
      </c>
      <c r="H1294" s="3199">
        <f t="shared" si="156"/>
        <v>0.84006000000000003</v>
      </c>
      <c r="J1294" s="444"/>
    </row>
    <row r="1295" spans="1:10" s="506" customFormat="1" ht="15" customHeight="1">
      <c r="A1295" s="512"/>
      <c r="B1295" s="626"/>
      <c r="C1295" s="5210" t="s">
        <v>568</v>
      </c>
      <c r="D1295" s="5210"/>
      <c r="E1295" s="3425">
        <f t="shared" si="161"/>
        <v>0</v>
      </c>
      <c r="F1295" s="3426">
        <f t="shared" si="161"/>
        <v>200000</v>
      </c>
      <c r="G1295" s="3427">
        <f t="shared" si="161"/>
        <v>168012</v>
      </c>
      <c r="H1295" s="3193">
        <f t="shared" si="156"/>
        <v>0.84006000000000003</v>
      </c>
      <c r="J1295" s="444"/>
    </row>
    <row r="1296" spans="1:10" s="506" customFormat="1" ht="15" customHeight="1">
      <c r="A1296" s="512"/>
      <c r="B1296" s="626"/>
      <c r="C1296" s="5219" t="s">
        <v>577</v>
      </c>
      <c r="D1296" s="5220"/>
      <c r="E1296" s="3428">
        <f>SUM(E1297:E1297)</f>
        <v>0</v>
      </c>
      <c r="F1296" s="3429">
        <f>SUM(F1297:F1297)</f>
        <v>200000</v>
      </c>
      <c r="G1296" s="3430">
        <f>SUM(G1297:G1297)</f>
        <v>168012</v>
      </c>
      <c r="H1296" s="3193">
        <f t="shared" si="156"/>
        <v>0.84006000000000003</v>
      </c>
      <c r="J1296" s="444"/>
    </row>
    <row r="1297" spans="1:10" s="506" customFormat="1" ht="15" customHeight="1" thickBot="1">
      <c r="A1297" s="512"/>
      <c r="B1297" s="626"/>
      <c r="C1297" s="3338" t="s">
        <v>312</v>
      </c>
      <c r="D1297" s="3431" t="s">
        <v>584</v>
      </c>
      <c r="E1297" s="3101">
        <v>0</v>
      </c>
      <c r="F1297" s="3100">
        <v>200000</v>
      </c>
      <c r="G1297" s="3118">
        <v>168012</v>
      </c>
      <c r="H1297" s="3193">
        <f t="shared" si="156"/>
        <v>0.84006000000000003</v>
      </c>
      <c r="J1297" s="444"/>
    </row>
    <row r="1298" spans="1:10" s="506" customFormat="1" ht="15" customHeight="1" thickBot="1">
      <c r="A1298" s="512"/>
      <c r="B1298" s="508" t="s">
        <v>919</v>
      </c>
      <c r="C1298" s="2344"/>
      <c r="D1298" s="2345" t="s">
        <v>44</v>
      </c>
      <c r="E1298" s="511">
        <f>SUM(E1299,E1350)</f>
        <v>10594230</v>
      </c>
      <c r="F1298" s="485">
        <f>SUM(F1299,F1350)</f>
        <v>14284205</v>
      </c>
      <c r="G1298" s="534">
        <f>SUM(G1299,G1350)</f>
        <v>12082367.780000001</v>
      </c>
      <c r="H1298" s="699">
        <f t="shared" si="156"/>
        <v>0.84585510919228624</v>
      </c>
      <c r="J1298" s="444"/>
    </row>
    <row r="1299" spans="1:10" s="506" customFormat="1" ht="15" customHeight="1">
      <c r="A1299" s="512"/>
      <c r="B1299" s="513"/>
      <c r="C1299" s="5152" t="s">
        <v>567</v>
      </c>
      <c r="D1299" s="5153"/>
      <c r="E1299" s="558">
        <f>SUM(E1300,E1305,E1313)</f>
        <v>10594230</v>
      </c>
      <c r="F1299" s="486">
        <f>SUM(F1300,F1305,F1313)</f>
        <v>14075470</v>
      </c>
      <c r="G1299" s="605">
        <f>SUM(G1300,G1305,G1313)</f>
        <v>11975541.620000001</v>
      </c>
      <c r="H1299" s="3199">
        <f t="shared" si="156"/>
        <v>0.85080935982954753</v>
      </c>
      <c r="J1299" s="444"/>
    </row>
    <row r="1300" spans="1:10" s="506" customFormat="1" ht="15" customHeight="1">
      <c r="A1300" s="512"/>
      <c r="B1300" s="626"/>
      <c r="C1300" s="5221" t="s">
        <v>568</v>
      </c>
      <c r="D1300" s="5222"/>
      <c r="E1300" s="3101">
        <f>SUM(E1301)</f>
        <v>289000</v>
      </c>
      <c r="F1300" s="3100">
        <f>SUM(F1301)</f>
        <v>0</v>
      </c>
      <c r="G1300" s="3118">
        <f>SUM(G1301)</f>
        <v>0</v>
      </c>
      <c r="H1300" s="3193"/>
      <c r="J1300" s="444"/>
    </row>
    <row r="1301" spans="1:10" s="506" customFormat="1" ht="15" customHeight="1">
      <c r="A1301" s="512"/>
      <c r="B1301" s="626"/>
      <c r="C1301" s="5219" t="s">
        <v>577</v>
      </c>
      <c r="D1301" s="5220"/>
      <c r="E1301" s="3105">
        <f>SUM(E1302:E1303)</f>
        <v>289000</v>
      </c>
      <c r="F1301" s="3104">
        <f>SUM(F1302:F1303)</f>
        <v>0</v>
      </c>
      <c r="G1301" s="3119">
        <f>SUM(G1302:G1303)</f>
        <v>0</v>
      </c>
      <c r="H1301" s="3193"/>
      <c r="J1301" s="444"/>
    </row>
    <row r="1302" spans="1:10" s="506" customFormat="1" ht="25.5">
      <c r="A1302" s="512"/>
      <c r="B1302" s="626"/>
      <c r="C1302" s="3324" t="s">
        <v>876</v>
      </c>
      <c r="D1302" s="3371" t="s">
        <v>877</v>
      </c>
      <c r="E1302" s="560">
        <v>200000</v>
      </c>
      <c r="F1302" s="481">
        <v>0</v>
      </c>
      <c r="G1302" s="604">
        <v>0</v>
      </c>
      <c r="H1302" s="3193"/>
      <c r="J1302" s="444" t="s">
        <v>701</v>
      </c>
    </row>
    <row r="1303" spans="1:10" s="506" customFormat="1">
      <c r="A1303" s="512"/>
      <c r="B1303" s="626"/>
      <c r="C1303" s="3322" t="s">
        <v>699</v>
      </c>
      <c r="D1303" s="3323" t="s">
        <v>700</v>
      </c>
      <c r="E1303" s="560">
        <v>89000</v>
      </c>
      <c r="F1303" s="481">
        <v>0</v>
      </c>
      <c r="G1303" s="604">
        <v>0</v>
      </c>
      <c r="H1303" s="3193"/>
      <c r="J1303" s="444" t="s">
        <v>701</v>
      </c>
    </row>
    <row r="1304" spans="1:10" s="506" customFormat="1">
      <c r="A1304" s="514"/>
      <c r="B1304" s="626"/>
      <c r="C1304" s="580"/>
      <c r="D1304" s="581"/>
      <c r="E1304" s="560"/>
      <c r="F1304" s="481"/>
      <c r="G1304" s="604"/>
      <c r="H1304" s="3193"/>
      <c r="J1304" s="444"/>
    </row>
    <row r="1305" spans="1:10" s="506" customFormat="1">
      <c r="A1305" s="512"/>
      <c r="B1305" s="513"/>
      <c r="C1305" s="5210" t="s">
        <v>640</v>
      </c>
      <c r="D1305" s="5210"/>
      <c r="E1305" s="3425">
        <f>SUM(E1306:E1311)</f>
        <v>6402058</v>
      </c>
      <c r="F1305" s="3426">
        <f t="shared" ref="F1305" si="162">SUM(F1306:F1311)</f>
        <v>9392962</v>
      </c>
      <c r="G1305" s="3426">
        <f>SUM(G1306:G1311)</f>
        <v>8118704.4400000013</v>
      </c>
      <c r="H1305" s="3193">
        <f t="shared" ref="H1305:H1311" si="163">G1305/F1305</f>
        <v>0.86433911262496343</v>
      </c>
      <c r="J1305" s="444"/>
    </row>
    <row r="1306" spans="1:10" s="506" customFormat="1" ht="63.75">
      <c r="A1306" s="512"/>
      <c r="B1306" s="513"/>
      <c r="C1306" s="3432" t="s">
        <v>611</v>
      </c>
      <c r="D1306" s="3433" t="s">
        <v>653</v>
      </c>
      <c r="E1306" s="3425">
        <v>4711394</v>
      </c>
      <c r="F1306" s="3426">
        <v>6631440</v>
      </c>
      <c r="G1306" s="3427">
        <v>5956978.9000000004</v>
      </c>
      <c r="H1306" s="3193">
        <f t="shared" si="163"/>
        <v>0.8982934174176348</v>
      </c>
      <c r="J1306" s="444" t="s">
        <v>654</v>
      </c>
    </row>
    <row r="1307" spans="1:10" s="506" customFormat="1" ht="51">
      <c r="A1307" s="512"/>
      <c r="B1307" s="513"/>
      <c r="C1307" s="3432" t="s">
        <v>138</v>
      </c>
      <c r="D1307" s="3434" t="s">
        <v>676</v>
      </c>
      <c r="E1307" s="3425">
        <v>1490664</v>
      </c>
      <c r="F1307" s="3426">
        <v>1546759</v>
      </c>
      <c r="G1307" s="3427">
        <v>1435971.48</v>
      </c>
      <c r="H1307" s="3193">
        <f t="shared" si="163"/>
        <v>0.92837441385503494</v>
      </c>
      <c r="J1307" s="444" t="s">
        <v>654</v>
      </c>
    </row>
    <row r="1308" spans="1:10" s="506" customFormat="1" ht="38.25">
      <c r="A1308" s="512"/>
      <c r="B1308" s="513"/>
      <c r="C1308" s="3435" t="s">
        <v>664</v>
      </c>
      <c r="D1308" s="3434" t="s">
        <v>665</v>
      </c>
      <c r="E1308" s="3426">
        <v>200000</v>
      </c>
      <c r="F1308" s="3426">
        <v>489000</v>
      </c>
      <c r="G1308" s="3427">
        <v>0</v>
      </c>
      <c r="H1308" s="3193">
        <f t="shared" si="163"/>
        <v>0</v>
      </c>
      <c r="J1308" s="444" t="s">
        <v>701</v>
      </c>
    </row>
    <row r="1309" spans="1:10" s="506" customFormat="1" ht="51.75" thickBot="1">
      <c r="A1309" s="593"/>
      <c r="B1309" s="616"/>
      <c r="C1309" s="3436" t="s">
        <v>91</v>
      </c>
      <c r="D1309" s="3437" t="s">
        <v>649</v>
      </c>
      <c r="E1309" s="3438">
        <v>0</v>
      </c>
      <c r="F1309" s="3438">
        <v>75343</v>
      </c>
      <c r="G1309" s="3439">
        <v>75343</v>
      </c>
      <c r="H1309" s="2245">
        <f t="shared" si="163"/>
        <v>1</v>
      </c>
      <c r="J1309" s="444"/>
    </row>
    <row r="1310" spans="1:10" s="506" customFormat="1" ht="51">
      <c r="A1310" s="507"/>
      <c r="B1310" s="3304"/>
      <c r="C1310" s="3442" t="s">
        <v>210</v>
      </c>
      <c r="D1310" s="3443" t="s">
        <v>909</v>
      </c>
      <c r="E1310" s="3444">
        <v>0</v>
      </c>
      <c r="F1310" s="2992">
        <v>2416</v>
      </c>
      <c r="G1310" s="2993">
        <v>2414.62</v>
      </c>
      <c r="H1310" s="2994">
        <f t="shared" si="163"/>
        <v>0.99942880794701983</v>
      </c>
      <c r="J1310" s="444"/>
    </row>
    <row r="1311" spans="1:10" s="506" customFormat="1" ht="16.5" customHeight="1">
      <c r="A1311" s="512"/>
      <c r="B1311" s="513"/>
      <c r="C1311" s="3445" t="s">
        <v>211</v>
      </c>
      <c r="D1311" s="3446" t="s">
        <v>656</v>
      </c>
      <c r="E1311" s="3101">
        <v>0</v>
      </c>
      <c r="F1311" s="3100">
        <v>648004</v>
      </c>
      <c r="G1311" s="3118">
        <v>647996.43999999994</v>
      </c>
      <c r="H1311" s="3441">
        <f t="shared" si="163"/>
        <v>0.99998833340534932</v>
      </c>
      <c r="J1311" s="444"/>
    </row>
    <row r="1312" spans="1:10" s="506" customFormat="1" ht="15" customHeight="1">
      <c r="A1312" s="512"/>
      <c r="B1312" s="513"/>
      <c r="C1312" s="3447"/>
      <c r="D1312" s="3448"/>
      <c r="E1312" s="3101"/>
      <c r="F1312" s="3100"/>
      <c r="G1312" s="3118"/>
      <c r="H1312" s="3441"/>
      <c r="J1312" s="444"/>
    </row>
    <row r="1313" spans="1:10" s="506" customFormat="1" ht="15" customHeight="1">
      <c r="A1313" s="512"/>
      <c r="B1313" s="513"/>
      <c r="C1313" s="5210" t="s">
        <v>608</v>
      </c>
      <c r="D1313" s="5211"/>
      <c r="E1313" s="3425">
        <f>SUM(E1314:E1348)</f>
        <v>3903172</v>
      </c>
      <c r="F1313" s="3426">
        <f>SUM(F1314:F1348)</f>
        <v>4682508</v>
      </c>
      <c r="G1313" s="3427">
        <f>SUM(G1314:G1348)</f>
        <v>3856837.1800000006</v>
      </c>
      <c r="H1313" s="3441">
        <f t="shared" ref="H1313:H1348" si="164">G1313/F1313</f>
        <v>0.82366910638486912</v>
      </c>
      <c r="J1313" s="444" t="s">
        <v>701</v>
      </c>
    </row>
    <row r="1314" spans="1:10" s="506" customFormat="1" ht="51">
      <c r="A1314" s="512"/>
      <c r="B1314" s="513"/>
      <c r="C1314" s="3432" t="s">
        <v>200</v>
      </c>
      <c r="D1314" s="3449" t="s">
        <v>676</v>
      </c>
      <c r="E1314" s="3101">
        <v>2391539</v>
      </c>
      <c r="F1314" s="3100">
        <v>2391539</v>
      </c>
      <c r="G1314" s="3118">
        <v>2114758.14</v>
      </c>
      <c r="H1314" s="3441">
        <f t="shared" si="164"/>
        <v>0.88426663332690791</v>
      </c>
      <c r="J1314" s="444"/>
    </row>
    <row r="1315" spans="1:10" s="506" customFormat="1" ht="51">
      <c r="A1315" s="514"/>
      <c r="B1315" s="513"/>
      <c r="C1315" s="3450" t="s">
        <v>138</v>
      </c>
      <c r="D1315" s="3451" t="s">
        <v>676</v>
      </c>
      <c r="E1315" s="3425">
        <v>414979</v>
      </c>
      <c r="F1315" s="3426">
        <v>414979</v>
      </c>
      <c r="G1315" s="3427">
        <v>367064.69</v>
      </c>
      <c r="H1315" s="3441">
        <f t="shared" si="164"/>
        <v>0.88453798866930611</v>
      </c>
      <c r="J1315" s="444"/>
    </row>
    <row r="1316" spans="1:10" s="506" customFormat="1" ht="15" customHeight="1">
      <c r="A1316" s="514"/>
      <c r="B1316" s="513"/>
      <c r="C1316" s="3445" t="s">
        <v>655</v>
      </c>
      <c r="D1316" s="3452" t="s">
        <v>656</v>
      </c>
      <c r="E1316" s="3425">
        <v>0</v>
      </c>
      <c r="F1316" s="3426">
        <v>6996</v>
      </c>
      <c r="G1316" s="3427">
        <v>6995.92</v>
      </c>
      <c r="H1316" s="3441">
        <f t="shared" si="164"/>
        <v>0.99998856489422527</v>
      </c>
      <c r="J1316" s="444"/>
    </row>
    <row r="1317" spans="1:10" s="506" customFormat="1" ht="15" customHeight="1">
      <c r="A1317" s="512"/>
      <c r="B1317" s="513"/>
      <c r="C1317" s="3432" t="s">
        <v>722</v>
      </c>
      <c r="D1317" s="3433" t="s">
        <v>571</v>
      </c>
      <c r="E1317" s="3425">
        <v>308258</v>
      </c>
      <c r="F1317" s="3426">
        <v>648875</v>
      </c>
      <c r="G1317" s="3427">
        <v>372327.93</v>
      </c>
      <c r="H1317" s="3441">
        <f t="shared" si="164"/>
        <v>0.57380532460026967</v>
      </c>
      <c r="J1317" s="444"/>
    </row>
    <row r="1318" spans="1:10" s="506" customFormat="1" ht="15" customHeight="1">
      <c r="A1318" s="512"/>
      <c r="B1318" s="513"/>
      <c r="C1318" s="3432" t="s">
        <v>613</v>
      </c>
      <c r="D1318" s="3433" t="s">
        <v>571</v>
      </c>
      <c r="E1318" s="3425">
        <v>0</v>
      </c>
      <c r="F1318" s="3426">
        <v>142767</v>
      </c>
      <c r="G1318" s="3427">
        <v>114965.33</v>
      </c>
      <c r="H1318" s="3441">
        <f t="shared" si="164"/>
        <v>0.80526543248789983</v>
      </c>
      <c r="J1318" s="444"/>
    </row>
    <row r="1319" spans="1:10" s="506" customFormat="1" ht="15" customHeight="1">
      <c r="A1319" s="512"/>
      <c r="B1319" s="513"/>
      <c r="C1319" s="3450" t="s">
        <v>614</v>
      </c>
      <c r="D1319" s="3384" t="s">
        <v>571</v>
      </c>
      <c r="E1319" s="3425">
        <v>57497</v>
      </c>
      <c r="F1319" s="3426">
        <v>150559</v>
      </c>
      <c r="G1319" s="3427">
        <v>97496.41</v>
      </c>
      <c r="H1319" s="3441">
        <f t="shared" si="164"/>
        <v>0.6475628159060568</v>
      </c>
      <c r="J1319" s="444"/>
    </row>
    <row r="1320" spans="1:10" s="506" customFormat="1" ht="15" customHeight="1">
      <c r="A1320" s="512"/>
      <c r="B1320" s="513"/>
      <c r="C1320" s="3453" t="s">
        <v>914</v>
      </c>
      <c r="D1320" s="3454" t="s">
        <v>572</v>
      </c>
      <c r="E1320" s="3425">
        <v>44722</v>
      </c>
      <c r="F1320" s="3426">
        <v>39189</v>
      </c>
      <c r="G1320" s="3427">
        <v>38890.959999999999</v>
      </c>
      <c r="H1320" s="3441">
        <f t="shared" si="164"/>
        <v>0.99239480466457419</v>
      </c>
      <c r="J1320" s="444"/>
    </row>
    <row r="1321" spans="1:10" s="506" customFormat="1" ht="15" customHeight="1">
      <c r="A1321" s="512"/>
      <c r="B1321" s="513"/>
      <c r="C1321" s="3432" t="s">
        <v>616</v>
      </c>
      <c r="D1321" s="3433" t="s">
        <v>572</v>
      </c>
      <c r="E1321" s="3425">
        <v>3582</v>
      </c>
      <c r="F1321" s="3426">
        <v>3582</v>
      </c>
      <c r="G1321" s="3427">
        <v>3525.96</v>
      </c>
      <c r="H1321" s="3441">
        <f t="shared" si="164"/>
        <v>0.98435510887772193</v>
      </c>
      <c r="J1321" s="444"/>
    </row>
    <row r="1322" spans="1:10" s="506" customFormat="1" ht="15" customHeight="1">
      <c r="A1322" s="512"/>
      <c r="B1322" s="513"/>
      <c r="C1322" s="3432" t="s">
        <v>723</v>
      </c>
      <c r="D1322" s="3433" t="s">
        <v>573</v>
      </c>
      <c r="E1322" s="3425">
        <v>60961</v>
      </c>
      <c r="F1322" s="3426">
        <v>122569</v>
      </c>
      <c r="G1322" s="3427">
        <v>76227.350000000006</v>
      </c>
      <c r="H1322" s="3441">
        <f t="shared" si="164"/>
        <v>0.62191377917744295</v>
      </c>
      <c r="J1322" s="444"/>
    </row>
    <row r="1323" spans="1:10" s="506" customFormat="1" ht="15" customHeight="1">
      <c r="A1323" s="512"/>
      <c r="B1323" s="513"/>
      <c r="C1323" s="3432" t="s">
        <v>617</v>
      </c>
      <c r="D1323" s="3433" t="s">
        <v>573</v>
      </c>
      <c r="E1323" s="3425">
        <v>0</v>
      </c>
      <c r="F1323" s="3426">
        <v>24656</v>
      </c>
      <c r="G1323" s="3427">
        <v>19797.14</v>
      </c>
      <c r="H1323" s="3441">
        <f t="shared" si="164"/>
        <v>0.8029339714471122</v>
      </c>
      <c r="J1323" s="444"/>
    </row>
    <row r="1324" spans="1:10" s="506" customFormat="1" ht="15" customHeight="1">
      <c r="A1324" s="512"/>
      <c r="B1324" s="513"/>
      <c r="C1324" s="3432" t="s">
        <v>618</v>
      </c>
      <c r="D1324" s="3433" t="s">
        <v>573</v>
      </c>
      <c r="E1324" s="3425">
        <v>10548</v>
      </c>
      <c r="F1324" s="3426">
        <v>27316</v>
      </c>
      <c r="G1324" s="3427">
        <v>18523.05</v>
      </c>
      <c r="H1324" s="3441">
        <f t="shared" si="164"/>
        <v>0.67810257724410594</v>
      </c>
      <c r="J1324" s="444"/>
    </row>
    <row r="1325" spans="1:10" s="506" customFormat="1" ht="15" customHeight="1">
      <c r="A1325" s="512"/>
      <c r="B1325" s="513"/>
      <c r="C1325" s="3432" t="s">
        <v>724</v>
      </c>
      <c r="D1325" s="3433" t="s">
        <v>574</v>
      </c>
      <c r="E1325" s="3425">
        <v>8649</v>
      </c>
      <c r="F1325" s="3426">
        <v>16571</v>
      </c>
      <c r="G1325" s="3427">
        <v>9196.5400000000009</v>
      </c>
      <c r="H1325" s="3441">
        <f t="shared" si="164"/>
        <v>0.55497797356828205</v>
      </c>
      <c r="J1325" s="444"/>
    </row>
    <row r="1326" spans="1:10" ht="15" customHeight="1">
      <c r="A1326" s="517"/>
      <c r="B1326" s="624"/>
      <c r="C1326" s="3455" t="s">
        <v>619</v>
      </c>
      <c r="D1326" s="3456" t="s">
        <v>574</v>
      </c>
      <c r="E1326" s="3426">
        <v>0</v>
      </c>
      <c r="F1326" s="3426">
        <v>3498</v>
      </c>
      <c r="G1326" s="3427">
        <v>2808.19</v>
      </c>
      <c r="H1326" s="3441">
        <f t="shared" si="164"/>
        <v>0.80279874213836477</v>
      </c>
    </row>
    <row r="1327" spans="1:10" s="506" customFormat="1" ht="15" customHeight="1">
      <c r="A1327" s="514"/>
      <c r="B1327" s="513"/>
      <c r="C1327" s="3383" t="s">
        <v>620</v>
      </c>
      <c r="D1327" s="3384" t="s">
        <v>574</v>
      </c>
      <c r="E1327" s="3425">
        <v>1497</v>
      </c>
      <c r="F1327" s="3426">
        <v>3722</v>
      </c>
      <c r="G1327" s="3427">
        <v>2330.7399999999998</v>
      </c>
      <c r="H1327" s="3441">
        <f t="shared" si="164"/>
        <v>0.62620634067705527</v>
      </c>
      <c r="J1327" s="444"/>
    </row>
    <row r="1328" spans="1:10" s="506" customFormat="1" ht="15" customHeight="1">
      <c r="A1328" s="512"/>
      <c r="B1328" s="513"/>
      <c r="C1328" s="3453" t="s">
        <v>725</v>
      </c>
      <c r="D1328" s="3454" t="s">
        <v>575</v>
      </c>
      <c r="E1328" s="560">
        <v>153390</v>
      </c>
      <c r="F1328" s="481">
        <v>171257</v>
      </c>
      <c r="G1328" s="604">
        <v>166725.96</v>
      </c>
      <c r="H1328" s="3441">
        <f t="shared" si="164"/>
        <v>0.97354245373911719</v>
      </c>
      <c r="J1328" s="444"/>
    </row>
    <row r="1329" spans="1:10" s="506" customFormat="1" ht="15" customHeight="1">
      <c r="A1329" s="514"/>
      <c r="B1329" s="513"/>
      <c r="C1329" s="3450" t="s">
        <v>622</v>
      </c>
      <c r="D1329" s="3384" t="s">
        <v>575</v>
      </c>
      <c r="E1329" s="3425">
        <v>28610</v>
      </c>
      <c r="F1329" s="3426">
        <v>31943</v>
      </c>
      <c r="G1329" s="3427">
        <v>31097.919999999998</v>
      </c>
      <c r="H1329" s="3441">
        <f t="shared" si="164"/>
        <v>0.97354412547349967</v>
      </c>
      <c r="J1329" s="444"/>
    </row>
    <row r="1330" spans="1:10" s="506" customFormat="1" ht="15" customHeight="1">
      <c r="A1330" s="512"/>
      <c r="B1330" s="513"/>
      <c r="C1330" s="3453" t="s">
        <v>708</v>
      </c>
      <c r="D1330" s="3454" t="s">
        <v>579</v>
      </c>
      <c r="E1330" s="3426">
        <v>0</v>
      </c>
      <c r="F1330" s="3426">
        <v>800</v>
      </c>
      <c r="G1330" s="3427">
        <v>0</v>
      </c>
      <c r="H1330" s="3441">
        <f t="shared" si="164"/>
        <v>0</v>
      </c>
      <c r="J1330" s="444"/>
    </row>
    <row r="1331" spans="1:10" ht="15" customHeight="1">
      <c r="A1331" s="517"/>
      <c r="B1331" s="624"/>
      <c r="C1331" s="3455" t="s">
        <v>790</v>
      </c>
      <c r="D1331" s="3456" t="s">
        <v>580</v>
      </c>
      <c r="E1331" s="3426">
        <v>0</v>
      </c>
      <c r="F1331" s="3426">
        <v>582</v>
      </c>
      <c r="G1331" s="3427">
        <v>578.22</v>
      </c>
      <c r="H1331" s="3441">
        <f t="shared" si="164"/>
        <v>0.99350515463917533</v>
      </c>
    </row>
    <row r="1332" spans="1:10" ht="15" customHeight="1">
      <c r="A1332" s="517"/>
      <c r="B1332" s="624"/>
      <c r="C1332" s="3455" t="s">
        <v>792</v>
      </c>
      <c r="D1332" s="3456" t="s">
        <v>580</v>
      </c>
      <c r="E1332" s="3426">
        <v>0</v>
      </c>
      <c r="F1332" s="3426">
        <v>145</v>
      </c>
      <c r="G1332" s="3427">
        <v>144.56</v>
      </c>
      <c r="H1332" s="3441">
        <f t="shared" si="164"/>
        <v>0.99696551724137927</v>
      </c>
    </row>
    <row r="1333" spans="1:10" ht="15" customHeight="1">
      <c r="A1333" s="517"/>
      <c r="B1333" s="624"/>
      <c r="C1333" s="3455" t="s">
        <v>920</v>
      </c>
      <c r="D1333" s="3456" t="s">
        <v>583</v>
      </c>
      <c r="E1333" s="3426">
        <v>0</v>
      </c>
      <c r="F1333" s="3426">
        <v>2511</v>
      </c>
      <c r="G1333" s="3427">
        <v>0</v>
      </c>
      <c r="H1333" s="3441">
        <f t="shared" si="164"/>
        <v>0</v>
      </c>
    </row>
    <row r="1334" spans="1:10" ht="15" customHeight="1" thickBot="1">
      <c r="A1334" s="535"/>
      <c r="B1334" s="2717"/>
      <c r="C1334" s="3457" t="s">
        <v>755</v>
      </c>
      <c r="D1334" s="3437" t="s">
        <v>583</v>
      </c>
      <c r="E1334" s="3438">
        <v>0</v>
      </c>
      <c r="F1334" s="3438">
        <v>490</v>
      </c>
      <c r="G1334" s="3439">
        <v>0</v>
      </c>
      <c r="H1334" s="2245">
        <f t="shared" si="164"/>
        <v>0</v>
      </c>
    </row>
    <row r="1335" spans="1:10" s="506" customFormat="1" ht="15" customHeight="1">
      <c r="A1335" s="507"/>
      <c r="B1335" s="3304"/>
      <c r="C1335" s="3458" t="s">
        <v>726</v>
      </c>
      <c r="D1335" s="3459" t="s">
        <v>584</v>
      </c>
      <c r="E1335" s="2292">
        <v>336001</v>
      </c>
      <c r="F1335" s="2292">
        <v>317802</v>
      </c>
      <c r="G1335" s="2435">
        <v>311509</v>
      </c>
      <c r="H1335" s="2994">
        <f t="shared" si="164"/>
        <v>0.98019836250243864</v>
      </c>
      <c r="J1335" s="444"/>
    </row>
    <row r="1336" spans="1:10" ht="15" customHeight="1">
      <c r="A1336" s="517"/>
      <c r="B1336" s="624"/>
      <c r="C1336" s="3455" t="s">
        <v>630</v>
      </c>
      <c r="D1336" s="3456" t="s">
        <v>584</v>
      </c>
      <c r="E1336" s="3426">
        <v>0</v>
      </c>
      <c r="F1336" s="3426">
        <v>23797</v>
      </c>
      <c r="G1336" s="3427">
        <v>2731.94</v>
      </c>
      <c r="H1336" s="3441">
        <f t="shared" si="164"/>
        <v>0.11480186578140102</v>
      </c>
    </row>
    <row r="1337" spans="1:10" s="506" customFormat="1" ht="15" customHeight="1">
      <c r="A1337" s="512"/>
      <c r="B1337" s="513"/>
      <c r="C1337" s="3455" t="s">
        <v>631</v>
      </c>
      <c r="D1337" s="3456" t="s">
        <v>584</v>
      </c>
      <c r="E1337" s="3426">
        <v>62671</v>
      </c>
      <c r="F1337" s="3426">
        <v>65230</v>
      </c>
      <c r="G1337" s="3427">
        <v>58786.01</v>
      </c>
      <c r="H1337" s="3441">
        <f t="shared" si="164"/>
        <v>0.90121125249118506</v>
      </c>
      <c r="J1337" s="444"/>
    </row>
    <row r="1338" spans="1:10" s="506" customFormat="1" ht="15.75" customHeight="1">
      <c r="A1338" s="512"/>
      <c r="B1338" s="513"/>
      <c r="C1338" s="3460" t="s">
        <v>727</v>
      </c>
      <c r="D1338" s="3461" t="s">
        <v>589</v>
      </c>
      <c r="E1338" s="3100">
        <v>6742</v>
      </c>
      <c r="F1338" s="3100">
        <v>4003</v>
      </c>
      <c r="G1338" s="3118">
        <v>284.39999999999998</v>
      </c>
      <c r="H1338" s="3441">
        <f t="shared" si="164"/>
        <v>7.1046714963777166E-2</v>
      </c>
      <c r="J1338" s="444"/>
    </row>
    <row r="1339" spans="1:10" s="506" customFormat="1" ht="15.75" customHeight="1">
      <c r="A1339" s="512"/>
      <c r="B1339" s="513"/>
      <c r="C1339" s="3455" t="s">
        <v>633</v>
      </c>
      <c r="D1339" s="3440" t="s">
        <v>589</v>
      </c>
      <c r="E1339" s="3426">
        <v>1258</v>
      </c>
      <c r="F1339" s="3426">
        <v>747</v>
      </c>
      <c r="G1339" s="3427">
        <v>53.1</v>
      </c>
      <c r="H1339" s="3441">
        <f t="shared" si="164"/>
        <v>7.1084337349397592E-2</v>
      </c>
      <c r="J1339" s="444"/>
    </row>
    <row r="1340" spans="1:10" s="506" customFormat="1" ht="15.75" customHeight="1">
      <c r="A1340" s="512"/>
      <c r="B1340" s="513"/>
      <c r="C1340" s="3432" t="s">
        <v>658</v>
      </c>
      <c r="D1340" s="3454" t="s">
        <v>591</v>
      </c>
      <c r="E1340" s="3425">
        <v>0</v>
      </c>
      <c r="F1340" s="3426">
        <v>23369</v>
      </c>
      <c r="G1340" s="3427">
        <v>12217.19</v>
      </c>
      <c r="H1340" s="3441">
        <f t="shared" si="164"/>
        <v>0.5227947280585391</v>
      </c>
      <c r="J1340" s="444"/>
    </row>
    <row r="1341" spans="1:10" s="506" customFormat="1" ht="15.75" customHeight="1">
      <c r="A1341" s="512"/>
      <c r="B1341" s="513"/>
      <c r="C1341" s="3432" t="s">
        <v>659</v>
      </c>
      <c r="D1341" s="3454" t="s">
        <v>591</v>
      </c>
      <c r="E1341" s="3425">
        <v>0</v>
      </c>
      <c r="F1341" s="3426">
        <v>5843</v>
      </c>
      <c r="G1341" s="3427">
        <v>3054.3</v>
      </c>
      <c r="H1341" s="3441">
        <f t="shared" si="164"/>
        <v>0.52272805065890815</v>
      </c>
      <c r="J1341" s="444"/>
    </row>
    <row r="1342" spans="1:10" s="506" customFormat="1" ht="15.75" customHeight="1">
      <c r="A1342" s="512"/>
      <c r="B1342" s="513"/>
      <c r="C1342" s="3396" t="s">
        <v>915</v>
      </c>
      <c r="D1342" s="3372" t="s">
        <v>593</v>
      </c>
      <c r="E1342" s="3425">
        <v>6456</v>
      </c>
      <c r="F1342" s="3426">
        <v>10776</v>
      </c>
      <c r="G1342" s="3427">
        <v>6165.99</v>
      </c>
      <c r="H1342" s="3441">
        <f t="shared" si="164"/>
        <v>0.57219654788418706</v>
      </c>
      <c r="J1342" s="444"/>
    </row>
    <row r="1343" spans="1:10" s="506" customFormat="1" ht="15.75" customHeight="1">
      <c r="A1343" s="512"/>
      <c r="B1343" s="513"/>
      <c r="C1343" s="3462" t="s">
        <v>916</v>
      </c>
      <c r="D1343" s="3372" t="s">
        <v>593</v>
      </c>
      <c r="E1343" s="3425">
        <v>1204</v>
      </c>
      <c r="F1343" s="3426">
        <v>1916</v>
      </c>
      <c r="G1343" s="3427">
        <v>1150.1099999999999</v>
      </c>
      <c r="H1343" s="3441">
        <f t="shared" si="164"/>
        <v>0.60026617954070971</v>
      </c>
      <c r="J1343" s="444"/>
    </row>
    <row r="1344" spans="1:10" ht="15" customHeight="1">
      <c r="A1344" s="517"/>
      <c r="B1344" s="624"/>
      <c r="C1344" s="3463" t="s">
        <v>729</v>
      </c>
      <c r="D1344" s="3464" t="s">
        <v>600</v>
      </c>
      <c r="E1344" s="3426">
        <v>0</v>
      </c>
      <c r="F1344" s="3426">
        <v>8072</v>
      </c>
      <c r="G1344" s="3427">
        <v>8071.89</v>
      </c>
      <c r="H1344" s="3441">
        <f t="shared" si="164"/>
        <v>0.9999863726461844</v>
      </c>
    </row>
    <row r="1345" spans="1:10" ht="15" customHeight="1">
      <c r="A1345" s="517"/>
      <c r="B1345" s="624"/>
      <c r="C1345" s="3463" t="s">
        <v>637</v>
      </c>
      <c r="D1345" s="3464" t="s">
        <v>600</v>
      </c>
      <c r="E1345" s="3426">
        <v>0</v>
      </c>
      <c r="F1345" s="3426">
        <v>1506</v>
      </c>
      <c r="G1345" s="3427">
        <v>1505.62</v>
      </c>
      <c r="H1345" s="3441">
        <f t="shared" si="164"/>
        <v>0.99974767596281533</v>
      </c>
    </row>
    <row r="1346" spans="1:10" s="506" customFormat="1" ht="15" customHeight="1">
      <c r="A1346" s="512"/>
      <c r="B1346" s="513"/>
      <c r="C1346" s="3423" t="s">
        <v>730</v>
      </c>
      <c r="D1346" s="3399" t="s">
        <v>576</v>
      </c>
      <c r="E1346" s="3425">
        <v>3984</v>
      </c>
      <c r="F1346" s="3426">
        <v>9031</v>
      </c>
      <c r="G1346" s="3427">
        <v>4986.1899999999996</v>
      </c>
      <c r="H1346" s="3441">
        <f t="shared" si="164"/>
        <v>0.55211936662606576</v>
      </c>
      <c r="J1346" s="444"/>
    </row>
    <row r="1347" spans="1:10" s="506" customFormat="1" ht="15" customHeight="1">
      <c r="A1347" s="512"/>
      <c r="B1347" s="513"/>
      <c r="C1347" s="3465" t="s">
        <v>638</v>
      </c>
      <c r="D1347" s="3466" t="s">
        <v>576</v>
      </c>
      <c r="E1347" s="3467">
        <v>0</v>
      </c>
      <c r="F1347" s="3468">
        <v>3569</v>
      </c>
      <c r="G1347" s="3469">
        <v>1592.18</v>
      </c>
      <c r="H1347" s="3441">
        <f t="shared" si="164"/>
        <v>0.44611375735500142</v>
      </c>
      <c r="J1347" s="444"/>
    </row>
    <row r="1348" spans="1:10" s="506" customFormat="1" ht="15" customHeight="1">
      <c r="A1348" s="512"/>
      <c r="B1348" s="513"/>
      <c r="C1348" s="3465" t="s">
        <v>639</v>
      </c>
      <c r="D1348" s="3466" t="s">
        <v>576</v>
      </c>
      <c r="E1348" s="3467">
        <v>624</v>
      </c>
      <c r="F1348" s="3468">
        <v>2301</v>
      </c>
      <c r="G1348" s="3469">
        <v>1274.25</v>
      </c>
      <c r="H1348" s="3441">
        <f t="shared" si="164"/>
        <v>0.55378096479791394</v>
      </c>
      <c r="J1348" s="444"/>
    </row>
    <row r="1349" spans="1:10" ht="15" customHeight="1">
      <c r="A1349" s="522"/>
      <c r="B1349" s="624"/>
      <c r="C1349" s="3470"/>
      <c r="D1349" s="3471"/>
      <c r="E1349" s="3472"/>
      <c r="F1349" s="3472"/>
      <c r="G1349" s="3473"/>
      <c r="H1349" s="3441"/>
    </row>
    <row r="1350" spans="1:10" s="506" customFormat="1" ht="15" customHeight="1">
      <c r="A1350" s="512"/>
      <c r="B1350" s="513"/>
      <c r="C1350" s="5212" t="s">
        <v>603</v>
      </c>
      <c r="D1350" s="5212"/>
      <c r="E1350" s="558">
        <f>SUM(E1351)</f>
        <v>0</v>
      </c>
      <c r="F1350" s="486">
        <f>SUM(F1351)</f>
        <v>208735</v>
      </c>
      <c r="G1350" s="605">
        <f>SUM(G1351)</f>
        <v>106826.15999999999</v>
      </c>
      <c r="H1350" s="3474">
        <f t="shared" ref="H1350:H1375" si="165">G1350/F1350</f>
        <v>0.51177885836107984</v>
      </c>
      <c r="J1350" s="444"/>
    </row>
    <row r="1351" spans="1:10" s="506" customFormat="1" ht="15" customHeight="1">
      <c r="A1351" s="512"/>
      <c r="B1351" s="513"/>
      <c r="C1351" s="5213" t="s">
        <v>688</v>
      </c>
      <c r="D1351" s="5213"/>
      <c r="E1351" s="3475">
        <f>SUM(E1352:E1354)</f>
        <v>0</v>
      </c>
      <c r="F1351" s="3476">
        <f>SUM(F1352:F1354)</f>
        <v>208735</v>
      </c>
      <c r="G1351" s="3477">
        <f>SUM(G1352:G1354)</f>
        <v>106826.15999999999</v>
      </c>
      <c r="H1351" s="3441">
        <f t="shared" si="165"/>
        <v>0.51177885836107984</v>
      </c>
      <c r="J1351" s="444"/>
    </row>
    <row r="1352" spans="1:10" s="506" customFormat="1" ht="52.5" customHeight="1">
      <c r="A1352" s="512"/>
      <c r="B1352" s="513"/>
      <c r="C1352" s="3478" t="s">
        <v>805</v>
      </c>
      <c r="D1352" s="3479" t="s">
        <v>675</v>
      </c>
      <c r="E1352" s="3475">
        <v>0</v>
      </c>
      <c r="F1352" s="3476">
        <v>162843</v>
      </c>
      <c r="G1352" s="3477">
        <v>61426.06</v>
      </c>
      <c r="H1352" s="3441">
        <f t="shared" si="165"/>
        <v>0.37721031914175002</v>
      </c>
      <c r="J1352" s="444" t="s">
        <v>654</v>
      </c>
    </row>
    <row r="1353" spans="1:10" s="506" customFormat="1" ht="55.5" customHeight="1">
      <c r="A1353" s="512"/>
      <c r="B1353" s="513"/>
      <c r="C1353" s="3480" t="s">
        <v>309</v>
      </c>
      <c r="D1353" s="3481" t="s">
        <v>676</v>
      </c>
      <c r="E1353" s="3475">
        <v>0</v>
      </c>
      <c r="F1353" s="3476">
        <v>21038</v>
      </c>
      <c r="G1353" s="3477">
        <v>20552.98</v>
      </c>
      <c r="H1353" s="3441">
        <f t="shared" si="165"/>
        <v>0.97694552714136318</v>
      </c>
      <c r="J1353" s="444" t="s">
        <v>654</v>
      </c>
    </row>
    <row r="1354" spans="1:10" s="506" customFormat="1" ht="27.75" customHeight="1" thickBot="1">
      <c r="A1354" s="593"/>
      <c r="B1354" s="616"/>
      <c r="C1354" s="3305" t="s">
        <v>212</v>
      </c>
      <c r="D1354" s="3306" t="s">
        <v>678</v>
      </c>
      <c r="E1354" s="567">
        <v>0</v>
      </c>
      <c r="F1354" s="503">
        <v>24854</v>
      </c>
      <c r="G1354" s="702">
        <v>24847.119999999999</v>
      </c>
      <c r="H1354" s="3482">
        <f t="shared" si="165"/>
        <v>0.99972318339100341</v>
      </c>
      <c r="J1354" s="444"/>
    </row>
    <row r="1355" spans="1:10" s="506" customFormat="1" ht="15" customHeight="1" thickBot="1">
      <c r="A1355" s="2335" t="s">
        <v>376</v>
      </c>
      <c r="B1355" s="3483"/>
      <c r="C1355" s="627"/>
      <c r="D1355" s="628" t="s">
        <v>921</v>
      </c>
      <c r="E1355" s="3061">
        <f>SUM(E1356,E1366,E1447)</f>
        <v>41058013</v>
      </c>
      <c r="F1355" s="3061">
        <f>SUM(F1356,F1366,F1447)</f>
        <v>43927763</v>
      </c>
      <c r="G1355" s="3062">
        <f>SUM(G1356,G1366,G1447)</f>
        <v>41872552.780000001</v>
      </c>
      <c r="H1355" s="3484">
        <f t="shared" si="165"/>
        <v>0.9532138656821656</v>
      </c>
      <c r="J1355" s="444"/>
    </row>
    <row r="1356" spans="1:10" s="506" customFormat="1" ht="15" customHeight="1" thickBot="1">
      <c r="A1356" s="512"/>
      <c r="B1356" s="508" t="s">
        <v>375</v>
      </c>
      <c r="C1356" s="2530"/>
      <c r="D1356" s="2941" t="s">
        <v>237</v>
      </c>
      <c r="E1356" s="485">
        <f>SUM(E1357,E1363)</f>
        <v>3412553</v>
      </c>
      <c r="F1356" s="485">
        <f t="shared" ref="F1356:G1356" si="166">SUM(F1357,F1363)</f>
        <v>3793431</v>
      </c>
      <c r="G1356" s="534">
        <f t="shared" si="166"/>
        <v>3791734.26</v>
      </c>
      <c r="H1356" s="699">
        <f t="shared" si="165"/>
        <v>0.99955271626134756</v>
      </c>
      <c r="J1356" s="444"/>
    </row>
    <row r="1357" spans="1:10" s="506" customFormat="1" ht="15" customHeight="1">
      <c r="A1357" s="512"/>
      <c r="B1357" s="5214"/>
      <c r="C1357" s="5215" t="s">
        <v>567</v>
      </c>
      <c r="D1357" s="5216"/>
      <c r="E1357" s="3485">
        <f t="shared" ref="E1357:G1357" si="167">SUM(E1358)</f>
        <v>3412553</v>
      </c>
      <c r="F1357" s="3485">
        <f t="shared" si="167"/>
        <v>3759049</v>
      </c>
      <c r="G1357" s="3486">
        <f t="shared" si="167"/>
        <v>3757352.26</v>
      </c>
      <c r="H1357" s="3474">
        <f t="shared" si="165"/>
        <v>0.9995486251974901</v>
      </c>
      <c r="J1357" s="444"/>
    </row>
    <row r="1358" spans="1:10" s="506" customFormat="1" ht="15" customHeight="1">
      <c r="A1358" s="512"/>
      <c r="B1358" s="5214"/>
      <c r="C1358" s="5217" t="s">
        <v>640</v>
      </c>
      <c r="D1358" s="5218"/>
      <c r="E1358" s="3100">
        <f>SUM(E1359:E1361)</f>
        <v>3412553</v>
      </c>
      <c r="F1358" s="3100">
        <f>SUM(F1359:F1361)</f>
        <v>3759049</v>
      </c>
      <c r="G1358" s="3118">
        <f>SUM(G1359:G1361)</f>
        <v>3757352.26</v>
      </c>
      <c r="H1358" s="3441">
        <f t="shared" si="165"/>
        <v>0.9995486251974901</v>
      </c>
      <c r="J1358" s="444" t="s">
        <v>701</v>
      </c>
    </row>
    <row r="1359" spans="1:10" s="506" customFormat="1" ht="51">
      <c r="A1359" s="512"/>
      <c r="B1359" s="5214"/>
      <c r="C1359" s="3487" t="s">
        <v>91</v>
      </c>
      <c r="D1359" s="3488" t="s">
        <v>649</v>
      </c>
      <c r="E1359" s="3100">
        <v>880000</v>
      </c>
      <c r="F1359" s="3100">
        <v>880000</v>
      </c>
      <c r="G1359" s="3118">
        <v>878303.26</v>
      </c>
      <c r="H1359" s="3441">
        <f t="shared" si="165"/>
        <v>0.99807188636363642</v>
      </c>
      <c r="J1359" s="444"/>
    </row>
    <row r="1360" spans="1:10" s="506" customFormat="1" ht="25.5">
      <c r="A1360" s="512"/>
      <c r="B1360" s="514"/>
      <c r="C1360" s="3487" t="s">
        <v>922</v>
      </c>
      <c r="D1360" s="3488" t="s">
        <v>923</v>
      </c>
      <c r="E1360" s="3101">
        <v>140047</v>
      </c>
      <c r="F1360" s="3100">
        <v>157871</v>
      </c>
      <c r="G1360" s="3118">
        <v>157871</v>
      </c>
      <c r="H1360" s="3441">
        <f t="shared" si="165"/>
        <v>1</v>
      </c>
      <c r="J1360" s="444"/>
    </row>
    <row r="1361" spans="1:10" s="506" customFormat="1" ht="25.5">
      <c r="A1361" s="512"/>
      <c r="B1361" s="514"/>
      <c r="C1361" s="3489" t="s">
        <v>924</v>
      </c>
      <c r="D1361" s="3490" t="s">
        <v>925</v>
      </c>
      <c r="E1361" s="3476">
        <v>2392506</v>
      </c>
      <c r="F1361" s="3476">
        <v>2721178</v>
      </c>
      <c r="G1361" s="3477">
        <v>2721178</v>
      </c>
      <c r="H1361" s="3441">
        <f t="shared" si="165"/>
        <v>1</v>
      </c>
      <c r="J1361" s="444"/>
    </row>
    <row r="1362" spans="1:10" ht="15" customHeight="1">
      <c r="A1362" s="517"/>
      <c r="B1362" s="522"/>
      <c r="C1362" s="3491"/>
      <c r="D1362" s="3492"/>
      <c r="E1362" s="3476"/>
      <c r="F1362" s="3476"/>
      <c r="G1362" s="3477"/>
      <c r="H1362" s="3441"/>
    </row>
    <row r="1363" spans="1:10" ht="15" customHeight="1">
      <c r="A1363" s="517"/>
      <c r="B1363" s="522"/>
      <c r="C1363" s="5231" t="s">
        <v>603</v>
      </c>
      <c r="D1363" s="5232"/>
      <c r="E1363" s="486">
        <f>SUM(E1364)</f>
        <v>0</v>
      </c>
      <c r="F1363" s="486">
        <f>SUM(F1364)</f>
        <v>34382</v>
      </c>
      <c r="G1363" s="605">
        <f>SUM(G1364)</f>
        <v>34382</v>
      </c>
      <c r="H1363" s="3474">
        <f t="shared" si="165"/>
        <v>1</v>
      </c>
    </row>
    <row r="1364" spans="1:10" ht="15" customHeight="1">
      <c r="A1364" s="517"/>
      <c r="B1364" s="522"/>
      <c r="C1364" s="5233" t="s">
        <v>688</v>
      </c>
      <c r="D1364" s="5234"/>
      <c r="E1364" s="3493">
        <f>SUM(E1365)</f>
        <v>0</v>
      </c>
      <c r="F1364" s="3493">
        <f t="shared" ref="F1364:G1364" si="168">SUM(F1365)</f>
        <v>34382</v>
      </c>
      <c r="G1364" s="3494">
        <f t="shared" si="168"/>
        <v>34382</v>
      </c>
      <c r="H1364" s="3441">
        <f t="shared" si="165"/>
        <v>1</v>
      </c>
    </row>
    <row r="1365" spans="1:10" ht="44.25" customHeight="1" thickBot="1">
      <c r="A1365" s="517"/>
      <c r="B1365" s="522"/>
      <c r="C1365" s="3495" t="s">
        <v>374</v>
      </c>
      <c r="D1365" s="3496" t="s">
        <v>732</v>
      </c>
      <c r="E1365" s="3493">
        <v>0</v>
      </c>
      <c r="F1365" s="3493">
        <v>34382</v>
      </c>
      <c r="G1365" s="3494">
        <v>34382</v>
      </c>
      <c r="H1365" s="701">
        <f t="shared" si="165"/>
        <v>1</v>
      </c>
    </row>
    <row r="1366" spans="1:10" s="506" customFormat="1" ht="15" customHeight="1" thickBot="1">
      <c r="A1366" s="512"/>
      <c r="B1366" s="508" t="s">
        <v>373</v>
      </c>
      <c r="C1366" s="2344"/>
      <c r="D1366" s="2345" t="s">
        <v>372</v>
      </c>
      <c r="E1366" s="511">
        <f>SUM(E1367,E1443)</f>
        <v>35201367</v>
      </c>
      <c r="F1366" s="485">
        <f>SUM(F1367,F1443)</f>
        <v>36039050</v>
      </c>
      <c r="G1366" s="534">
        <f>SUM(G1367,G1443)</f>
        <v>34751360.470000006</v>
      </c>
      <c r="H1366" s="699">
        <f t="shared" si="165"/>
        <v>0.96426960394350036</v>
      </c>
      <c r="J1366" s="444"/>
    </row>
    <row r="1367" spans="1:10" s="506" customFormat="1" ht="15" customHeight="1">
      <c r="A1367" s="512"/>
      <c r="B1367" s="514"/>
      <c r="C1367" s="5235" t="s">
        <v>567</v>
      </c>
      <c r="D1367" s="5235"/>
      <c r="E1367" s="3497">
        <f>SUM(E1368,E1398,E1402)</f>
        <v>34783567</v>
      </c>
      <c r="F1367" s="3498">
        <f>SUM(F1368,F1398,F1402)</f>
        <v>35821250</v>
      </c>
      <c r="G1367" s="3499">
        <f>SUM(G1368,G1398,G1402)</f>
        <v>34550050.470000006</v>
      </c>
      <c r="H1367" s="3474">
        <f t="shared" si="165"/>
        <v>0.96451269763059655</v>
      </c>
      <c r="J1367" s="444"/>
    </row>
    <row r="1368" spans="1:10" s="506" customFormat="1" ht="15" customHeight="1">
      <c r="A1368" s="512"/>
      <c r="B1368" s="514"/>
      <c r="C1368" s="5236" t="s">
        <v>568</v>
      </c>
      <c r="D1368" s="5236"/>
      <c r="E1368" s="3500">
        <f>SUM(E1369,E1377)</f>
        <v>13670887</v>
      </c>
      <c r="F1368" s="3501">
        <f>SUM(F1369,F1377)</f>
        <v>15026302</v>
      </c>
      <c r="G1368" s="3502">
        <f>SUM(G1369,G1377)</f>
        <v>14497487.57</v>
      </c>
      <c r="H1368" s="3441">
        <f t="shared" si="165"/>
        <v>0.96480741369366863</v>
      </c>
      <c r="J1368" s="444"/>
    </row>
    <row r="1369" spans="1:10" s="506" customFormat="1" ht="15" customHeight="1">
      <c r="A1369" s="512"/>
      <c r="B1369" s="514"/>
      <c r="C1369" s="5237" t="s">
        <v>569</v>
      </c>
      <c r="D1369" s="5237"/>
      <c r="E1369" s="3503">
        <f>SUM(E1370:E1375)</f>
        <v>11194299</v>
      </c>
      <c r="F1369" s="3504">
        <f>SUM(F1370:F1375)</f>
        <v>12539414</v>
      </c>
      <c r="G1369" s="3505">
        <f>SUM(G1370:G1375)</f>
        <v>12279683.93</v>
      </c>
      <c r="H1369" s="3441">
        <f t="shared" si="165"/>
        <v>0.9792869052732448</v>
      </c>
      <c r="J1369" s="444" t="s">
        <v>657</v>
      </c>
    </row>
    <row r="1370" spans="1:10" s="506" customFormat="1" ht="15" customHeight="1">
      <c r="A1370" s="512"/>
      <c r="B1370" s="514"/>
      <c r="C1370" s="3453" t="s">
        <v>337</v>
      </c>
      <c r="D1370" s="3454" t="s">
        <v>571</v>
      </c>
      <c r="E1370" s="3506">
        <v>8664738</v>
      </c>
      <c r="F1370" s="3506">
        <v>9811893</v>
      </c>
      <c r="G1370" s="3507">
        <v>9673057.3900000006</v>
      </c>
      <c r="H1370" s="3441">
        <f t="shared" si="165"/>
        <v>0.98585027272515102</v>
      </c>
      <c r="J1370" s="444"/>
    </row>
    <row r="1371" spans="1:10" s="506" customFormat="1" ht="15" customHeight="1">
      <c r="A1371" s="514"/>
      <c r="B1371" s="514"/>
      <c r="C1371" s="3450" t="s">
        <v>336</v>
      </c>
      <c r="D1371" s="3384" t="s">
        <v>572</v>
      </c>
      <c r="E1371" s="3506">
        <v>686648</v>
      </c>
      <c r="F1371" s="3506">
        <v>647604</v>
      </c>
      <c r="G1371" s="3507">
        <v>647563.35</v>
      </c>
      <c r="H1371" s="3441">
        <f t="shared" si="165"/>
        <v>0.99993723015917135</v>
      </c>
      <c r="J1371" s="444"/>
    </row>
    <row r="1372" spans="1:10" s="506" customFormat="1" ht="15" customHeight="1">
      <c r="A1372" s="512"/>
      <c r="B1372" s="514"/>
      <c r="C1372" s="3453" t="s">
        <v>315</v>
      </c>
      <c r="D1372" s="3454" t="s">
        <v>573</v>
      </c>
      <c r="E1372" s="3506">
        <v>1568854</v>
      </c>
      <c r="F1372" s="3506">
        <v>1748218</v>
      </c>
      <c r="G1372" s="3507">
        <v>1686261.61</v>
      </c>
      <c r="H1372" s="3441">
        <f t="shared" si="165"/>
        <v>0.96456026079127433</v>
      </c>
      <c r="J1372" s="444"/>
    </row>
    <row r="1373" spans="1:10" s="506" customFormat="1" ht="15" customHeight="1">
      <c r="A1373" s="512"/>
      <c r="B1373" s="514"/>
      <c r="C1373" s="3508" t="s">
        <v>314</v>
      </c>
      <c r="D1373" s="3509" t="s">
        <v>574</v>
      </c>
      <c r="E1373" s="3510">
        <v>202229</v>
      </c>
      <c r="F1373" s="3510">
        <v>225349</v>
      </c>
      <c r="G1373" s="3511">
        <v>191385.84</v>
      </c>
      <c r="H1373" s="3441">
        <f t="shared" si="165"/>
        <v>0.84928639576834153</v>
      </c>
      <c r="J1373" s="444"/>
    </row>
    <row r="1374" spans="1:10" s="506" customFormat="1" ht="15" customHeight="1">
      <c r="A1374" s="512"/>
      <c r="B1374" s="514"/>
      <c r="C1374" s="3508" t="s">
        <v>319</v>
      </c>
      <c r="D1374" s="3509" t="s">
        <v>575</v>
      </c>
      <c r="E1374" s="3510">
        <v>17260</v>
      </c>
      <c r="F1374" s="3510">
        <v>20780</v>
      </c>
      <c r="G1374" s="3511">
        <v>16080</v>
      </c>
      <c r="H1374" s="3441">
        <f t="shared" si="165"/>
        <v>0.77382098171318581</v>
      </c>
      <c r="J1374" s="444"/>
    </row>
    <row r="1375" spans="1:10" s="506" customFormat="1" ht="15" customHeight="1">
      <c r="A1375" s="512"/>
      <c r="B1375" s="514"/>
      <c r="C1375" s="3512" t="s">
        <v>335</v>
      </c>
      <c r="D1375" s="3513" t="s">
        <v>576</v>
      </c>
      <c r="E1375" s="3510">
        <v>54570</v>
      </c>
      <c r="F1375" s="3510">
        <v>85570</v>
      </c>
      <c r="G1375" s="3511">
        <v>65335.74</v>
      </c>
      <c r="H1375" s="3441">
        <f t="shared" si="165"/>
        <v>0.7635355849012504</v>
      </c>
      <c r="J1375" s="444"/>
    </row>
    <row r="1376" spans="1:10" s="506" customFormat="1" ht="15" customHeight="1">
      <c r="A1376" s="512"/>
      <c r="B1376" s="514"/>
      <c r="C1376" s="559"/>
      <c r="D1376" s="559"/>
      <c r="E1376" s="3101"/>
      <c r="F1376" s="3100"/>
      <c r="G1376" s="3118"/>
      <c r="H1376" s="3441"/>
      <c r="J1376" s="444"/>
    </row>
    <row r="1377" spans="1:11" s="506" customFormat="1" ht="15" customHeight="1">
      <c r="A1377" s="512"/>
      <c r="B1377" s="514"/>
      <c r="C1377" s="5238" t="s">
        <v>577</v>
      </c>
      <c r="D1377" s="5238"/>
      <c r="E1377" s="3514">
        <f>SUM(E1378:E1396)</f>
        <v>2476588</v>
      </c>
      <c r="F1377" s="3515">
        <f>SUM(F1378:F1396)</f>
        <v>2486888</v>
      </c>
      <c r="G1377" s="3516">
        <f>SUM(G1378:G1396)</f>
        <v>2217803.6399999997</v>
      </c>
      <c r="H1377" s="3441">
        <f t="shared" ref="H1377:H1396" si="169">G1377/F1377</f>
        <v>0.89179876214771214</v>
      </c>
      <c r="J1377" s="444" t="s">
        <v>657</v>
      </c>
    </row>
    <row r="1378" spans="1:11" s="506" customFormat="1" ht="15" customHeight="1">
      <c r="A1378" s="512"/>
      <c r="B1378" s="514"/>
      <c r="C1378" s="3508" t="s">
        <v>363</v>
      </c>
      <c r="D1378" s="3509" t="s">
        <v>578</v>
      </c>
      <c r="E1378" s="3101">
        <v>6000</v>
      </c>
      <c r="F1378" s="3100">
        <v>0</v>
      </c>
      <c r="G1378" s="3118">
        <v>0</v>
      </c>
      <c r="H1378" s="3441"/>
      <c r="J1378" s="444"/>
    </row>
    <row r="1379" spans="1:11" s="506" customFormat="1" ht="15" customHeight="1">
      <c r="A1379" s="512"/>
      <c r="B1379" s="514"/>
      <c r="C1379" s="3508" t="s">
        <v>313</v>
      </c>
      <c r="D1379" s="3509" t="s">
        <v>579</v>
      </c>
      <c r="E1379" s="3101">
        <v>330680</v>
      </c>
      <c r="F1379" s="3100">
        <v>383680</v>
      </c>
      <c r="G1379" s="3118">
        <v>327709.09999999998</v>
      </c>
      <c r="H1379" s="3441">
        <f t="shared" si="169"/>
        <v>0.85412088198498748</v>
      </c>
      <c r="J1379" s="444"/>
      <c r="K1379" s="1346"/>
    </row>
    <row r="1380" spans="1:11" s="506" customFormat="1" ht="15" customHeight="1">
      <c r="A1380" s="512"/>
      <c r="B1380" s="514"/>
      <c r="C1380" s="3508" t="s">
        <v>333</v>
      </c>
      <c r="D1380" s="3509" t="s">
        <v>580</v>
      </c>
      <c r="E1380" s="3101">
        <v>6000</v>
      </c>
      <c r="F1380" s="3100">
        <v>8000</v>
      </c>
      <c r="G1380" s="3118">
        <v>7445.63</v>
      </c>
      <c r="H1380" s="3441">
        <f t="shared" si="169"/>
        <v>0.93070375000000005</v>
      </c>
      <c r="J1380" s="444"/>
    </row>
    <row r="1381" spans="1:11" s="506" customFormat="1" ht="15" customHeight="1" thickBot="1">
      <c r="A1381" s="593"/>
      <c r="B1381" s="565"/>
      <c r="C1381" s="3517" t="s">
        <v>331</v>
      </c>
      <c r="D1381" s="3380" t="s">
        <v>581</v>
      </c>
      <c r="E1381" s="567">
        <v>343000</v>
      </c>
      <c r="F1381" s="503">
        <v>312800</v>
      </c>
      <c r="G1381" s="702">
        <v>267315.32</v>
      </c>
      <c r="H1381" s="2245">
        <f t="shared" si="169"/>
        <v>0.85458861892583127</v>
      </c>
      <c r="J1381" s="444"/>
    </row>
    <row r="1382" spans="1:11" s="506" customFormat="1" ht="15" customHeight="1">
      <c r="A1382" s="507"/>
      <c r="B1382" s="3303"/>
      <c r="C1382" s="3519" t="s">
        <v>330</v>
      </c>
      <c r="D1382" s="3520" t="s">
        <v>582</v>
      </c>
      <c r="E1382" s="2826">
        <v>86000</v>
      </c>
      <c r="F1382" s="2292">
        <v>86000</v>
      </c>
      <c r="G1382" s="2435">
        <v>62459.64</v>
      </c>
      <c r="H1382" s="2994">
        <f t="shared" si="169"/>
        <v>0.72627488372093019</v>
      </c>
      <c r="J1382" s="444"/>
    </row>
    <row r="1383" spans="1:11" s="506" customFormat="1" ht="15" customHeight="1">
      <c r="A1383" s="512"/>
      <c r="B1383" s="514"/>
      <c r="C1383" s="3508" t="s">
        <v>329</v>
      </c>
      <c r="D1383" s="3509" t="s">
        <v>583</v>
      </c>
      <c r="E1383" s="3101">
        <v>15989</v>
      </c>
      <c r="F1383" s="3100">
        <v>15989</v>
      </c>
      <c r="G1383" s="3118">
        <v>9133.65</v>
      </c>
      <c r="H1383" s="3518">
        <f t="shared" si="169"/>
        <v>0.57124585652636184</v>
      </c>
      <c r="J1383" s="444"/>
    </row>
    <row r="1384" spans="1:11" s="506" customFormat="1" ht="15" customHeight="1">
      <c r="A1384" s="512"/>
      <c r="B1384" s="514"/>
      <c r="C1384" s="3508" t="s">
        <v>312</v>
      </c>
      <c r="D1384" s="3509" t="s">
        <v>584</v>
      </c>
      <c r="E1384" s="3101">
        <v>768819</v>
      </c>
      <c r="F1384" s="3100">
        <v>736619</v>
      </c>
      <c r="G1384" s="3118">
        <v>654144.63</v>
      </c>
      <c r="H1384" s="3518">
        <f t="shared" si="169"/>
        <v>0.88803659693817294</v>
      </c>
      <c r="J1384" s="444"/>
    </row>
    <row r="1385" spans="1:11" s="506" customFormat="1" ht="15" customHeight="1">
      <c r="A1385" s="512"/>
      <c r="B1385" s="514"/>
      <c r="C1385" s="3508" t="s">
        <v>328</v>
      </c>
      <c r="D1385" s="3509" t="s">
        <v>585</v>
      </c>
      <c r="E1385" s="3101">
        <v>37800</v>
      </c>
      <c r="F1385" s="3100">
        <v>35350</v>
      </c>
      <c r="G1385" s="3118">
        <v>33976.14</v>
      </c>
      <c r="H1385" s="3518">
        <f t="shared" si="169"/>
        <v>0.96113550212164067</v>
      </c>
      <c r="J1385" s="444"/>
    </row>
    <row r="1386" spans="1:11" s="506" customFormat="1" ht="15" customHeight="1">
      <c r="A1386" s="514"/>
      <c r="B1386" s="514"/>
      <c r="C1386" s="3450" t="s">
        <v>683</v>
      </c>
      <c r="D1386" s="3384" t="s">
        <v>742</v>
      </c>
      <c r="E1386" s="3521">
        <v>1000</v>
      </c>
      <c r="F1386" s="3493">
        <v>1000</v>
      </c>
      <c r="G1386" s="3494">
        <v>0</v>
      </c>
      <c r="H1386" s="3518">
        <f t="shared" si="169"/>
        <v>0</v>
      </c>
      <c r="J1386" s="444"/>
    </row>
    <row r="1387" spans="1:11" s="506" customFormat="1" ht="15" customHeight="1">
      <c r="A1387" s="512"/>
      <c r="B1387" s="514"/>
      <c r="C1387" s="3522" t="s">
        <v>327</v>
      </c>
      <c r="D1387" s="3523" t="s">
        <v>586</v>
      </c>
      <c r="E1387" s="3521">
        <v>2500</v>
      </c>
      <c r="F1387" s="3493">
        <v>2500</v>
      </c>
      <c r="G1387" s="3494">
        <v>1111.5</v>
      </c>
      <c r="H1387" s="3518">
        <f t="shared" si="169"/>
        <v>0.4446</v>
      </c>
      <c r="J1387" s="444"/>
    </row>
    <row r="1388" spans="1:11" s="506" customFormat="1" ht="27.75" customHeight="1">
      <c r="A1388" s="514"/>
      <c r="B1388" s="514"/>
      <c r="C1388" s="3450" t="s">
        <v>587</v>
      </c>
      <c r="D1388" s="3384" t="s">
        <v>588</v>
      </c>
      <c r="E1388" s="3521">
        <v>92200</v>
      </c>
      <c r="F1388" s="3493">
        <v>83350</v>
      </c>
      <c r="G1388" s="3494">
        <v>83341.62</v>
      </c>
      <c r="H1388" s="3518">
        <f t="shared" si="169"/>
        <v>0.99989946010797837</v>
      </c>
      <c r="J1388" s="444"/>
    </row>
    <row r="1389" spans="1:11" s="506" customFormat="1" ht="15" customHeight="1">
      <c r="A1389" s="512"/>
      <c r="B1389" s="514"/>
      <c r="C1389" s="3524" t="s">
        <v>326</v>
      </c>
      <c r="D1389" s="3525" t="s">
        <v>589</v>
      </c>
      <c r="E1389" s="560">
        <v>39400</v>
      </c>
      <c r="F1389" s="481">
        <v>55400</v>
      </c>
      <c r="G1389" s="604">
        <v>47921.96</v>
      </c>
      <c r="H1389" s="3441">
        <f t="shared" si="169"/>
        <v>0.86501732851985558</v>
      </c>
      <c r="J1389" s="444"/>
    </row>
    <row r="1390" spans="1:11" s="506" customFormat="1" ht="15" customHeight="1">
      <c r="A1390" s="512"/>
      <c r="B1390" s="514"/>
      <c r="C1390" s="3522" t="s">
        <v>590</v>
      </c>
      <c r="D1390" s="3523" t="s">
        <v>591</v>
      </c>
      <c r="E1390" s="3521">
        <v>1000</v>
      </c>
      <c r="F1390" s="3493">
        <v>1000</v>
      </c>
      <c r="G1390" s="3494">
        <v>194.63</v>
      </c>
      <c r="H1390" s="3518">
        <f t="shared" si="169"/>
        <v>0.19463</v>
      </c>
      <c r="J1390" s="444"/>
    </row>
    <row r="1391" spans="1:11" s="506" customFormat="1" ht="15" customHeight="1">
      <c r="A1391" s="512"/>
      <c r="B1391" s="514"/>
      <c r="C1391" s="3508" t="s">
        <v>325</v>
      </c>
      <c r="D1391" s="3509" t="s">
        <v>592</v>
      </c>
      <c r="E1391" s="3521">
        <v>25100</v>
      </c>
      <c r="F1391" s="3493">
        <v>27100</v>
      </c>
      <c r="G1391" s="3494">
        <v>19026.09</v>
      </c>
      <c r="H1391" s="3518">
        <f t="shared" si="169"/>
        <v>0.70206974169741698</v>
      </c>
      <c r="J1391" s="444"/>
    </row>
    <row r="1392" spans="1:11" s="506" customFormat="1" ht="15" customHeight="1">
      <c r="A1392" s="512"/>
      <c r="B1392" s="514"/>
      <c r="C1392" s="3508" t="s">
        <v>324</v>
      </c>
      <c r="D1392" s="3509" t="s">
        <v>593</v>
      </c>
      <c r="E1392" s="3521">
        <v>528000</v>
      </c>
      <c r="F1392" s="3493">
        <v>546500</v>
      </c>
      <c r="G1392" s="3494">
        <v>523254.24</v>
      </c>
      <c r="H1392" s="3518">
        <f t="shared" si="169"/>
        <v>0.9574643000914913</v>
      </c>
      <c r="J1392" s="444"/>
    </row>
    <row r="1393" spans="1:10" s="506" customFormat="1" ht="15" customHeight="1">
      <c r="A1393" s="512"/>
      <c r="B1393" s="514"/>
      <c r="C1393" s="3508" t="s">
        <v>323</v>
      </c>
      <c r="D1393" s="3509" t="s">
        <v>594</v>
      </c>
      <c r="E1393" s="3521">
        <v>28000</v>
      </c>
      <c r="F1393" s="3493">
        <v>33500</v>
      </c>
      <c r="G1393" s="3494">
        <v>33345</v>
      </c>
      <c r="H1393" s="3518">
        <f t="shared" si="169"/>
        <v>0.99537313432835817</v>
      </c>
      <c r="J1393" s="444"/>
    </row>
    <row r="1394" spans="1:10" s="506" customFormat="1" ht="15" customHeight="1">
      <c r="A1394" s="512"/>
      <c r="B1394" s="514"/>
      <c r="C1394" s="3508" t="s">
        <v>362</v>
      </c>
      <c r="D1394" s="3509" t="s">
        <v>597</v>
      </c>
      <c r="E1394" s="3521">
        <v>93000</v>
      </c>
      <c r="F1394" s="3493">
        <v>86000</v>
      </c>
      <c r="G1394" s="3494">
        <v>85110.399999999994</v>
      </c>
      <c r="H1394" s="3518">
        <f t="shared" si="169"/>
        <v>0.98965581395348834</v>
      </c>
      <c r="J1394" s="444"/>
    </row>
    <row r="1395" spans="1:10" s="506" customFormat="1" ht="15" customHeight="1">
      <c r="A1395" s="512"/>
      <c r="B1395" s="514"/>
      <c r="C1395" s="3508" t="s">
        <v>647</v>
      </c>
      <c r="D1395" s="3509" t="s">
        <v>648</v>
      </c>
      <c r="E1395" s="3521">
        <v>4500</v>
      </c>
      <c r="F1395" s="3493">
        <v>4500</v>
      </c>
      <c r="G1395" s="3494">
        <v>205</v>
      </c>
      <c r="H1395" s="3518">
        <f t="shared" si="169"/>
        <v>4.5555555555555557E-2</v>
      </c>
      <c r="J1395" s="444"/>
    </row>
    <row r="1396" spans="1:10" s="506" customFormat="1" ht="15" customHeight="1">
      <c r="A1396" s="512"/>
      <c r="B1396" s="514"/>
      <c r="C1396" s="3508" t="s">
        <v>322</v>
      </c>
      <c r="D1396" s="3509" t="s">
        <v>600</v>
      </c>
      <c r="E1396" s="3521">
        <v>67600</v>
      </c>
      <c r="F1396" s="3493">
        <v>67600</v>
      </c>
      <c r="G1396" s="3494">
        <v>62109.09</v>
      </c>
      <c r="H1396" s="3518">
        <f t="shared" si="169"/>
        <v>0.91877352071005913</v>
      </c>
      <c r="J1396" s="444"/>
    </row>
    <row r="1397" spans="1:10" s="506" customFormat="1" ht="15" customHeight="1">
      <c r="A1397" s="512"/>
      <c r="B1397" s="514"/>
      <c r="C1397" s="629"/>
      <c r="D1397" s="629"/>
      <c r="E1397" s="3521"/>
      <c r="F1397" s="3493"/>
      <c r="G1397" s="3494"/>
      <c r="H1397" s="3518"/>
      <c r="J1397" s="444"/>
    </row>
    <row r="1398" spans="1:10" s="506" customFormat="1" ht="15" customHeight="1">
      <c r="A1398" s="512"/>
      <c r="B1398" s="514"/>
      <c r="C1398" s="5224" t="s">
        <v>601</v>
      </c>
      <c r="D1398" s="5224"/>
      <c r="E1398" s="3526">
        <f>SUM(E1399:E1400)</f>
        <v>18780</v>
      </c>
      <c r="F1398" s="3527">
        <f>SUM(F1399:F1400)</f>
        <v>24600</v>
      </c>
      <c r="G1398" s="3528">
        <f>SUM(G1399:G1400)</f>
        <v>19535.349999999999</v>
      </c>
      <c r="H1398" s="3518">
        <f>G1398/F1398</f>
        <v>0.79411991869918697</v>
      </c>
      <c r="J1398" s="444" t="s">
        <v>657</v>
      </c>
    </row>
    <row r="1399" spans="1:10" s="506" customFormat="1" ht="15" customHeight="1">
      <c r="A1399" s="512"/>
      <c r="B1399" s="514"/>
      <c r="C1399" s="3529" t="s">
        <v>321</v>
      </c>
      <c r="D1399" s="3530" t="s">
        <v>602</v>
      </c>
      <c r="E1399" s="3531">
        <v>17500</v>
      </c>
      <c r="F1399" s="3532">
        <v>23700</v>
      </c>
      <c r="G1399" s="3533">
        <v>19535.349999999999</v>
      </c>
      <c r="H1399" s="3518">
        <f>G1399/F1399</f>
        <v>0.82427637130801679</v>
      </c>
      <c r="J1399" s="444"/>
    </row>
    <row r="1400" spans="1:10" s="506" customFormat="1" ht="15" customHeight="1">
      <c r="A1400" s="512"/>
      <c r="B1400" s="514"/>
      <c r="C1400" s="3534" t="s">
        <v>320</v>
      </c>
      <c r="D1400" s="3535" t="s">
        <v>744</v>
      </c>
      <c r="E1400" s="3531">
        <v>1280</v>
      </c>
      <c r="F1400" s="3532">
        <v>900</v>
      </c>
      <c r="G1400" s="3533">
        <v>0</v>
      </c>
      <c r="H1400" s="3518">
        <f>G1400/F1400</f>
        <v>0</v>
      </c>
      <c r="J1400" s="444"/>
    </row>
    <row r="1401" spans="1:10" s="506" customFormat="1" ht="15" customHeight="1">
      <c r="A1401" s="514"/>
      <c r="B1401" s="514"/>
      <c r="C1401" s="3536"/>
      <c r="D1401" s="3537"/>
      <c r="E1401" s="3531"/>
      <c r="F1401" s="3532"/>
      <c r="G1401" s="3533"/>
      <c r="H1401" s="3518"/>
      <c r="J1401" s="444"/>
    </row>
    <row r="1402" spans="1:10" s="506" customFormat="1" ht="15" customHeight="1">
      <c r="A1402" s="512"/>
      <c r="B1402" s="514"/>
      <c r="C1402" s="5225" t="s">
        <v>608</v>
      </c>
      <c r="D1402" s="5226"/>
      <c r="E1402" s="582">
        <f>SUM(E1403:E1441)</f>
        <v>21093900</v>
      </c>
      <c r="F1402" s="585">
        <f>SUM(F1403:F1441)</f>
        <v>20770348</v>
      </c>
      <c r="G1402" s="1306">
        <f>SUM(G1403:G1441)</f>
        <v>20033027.550000004</v>
      </c>
      <c r="H1402" s="3518">
        <f t="shared" ref="H1402:H1441" si="170">G1402/F1402</f>
        <v>0.96450129530810003</v>
      </c>
      <c r="J1402" s="444" t="s">
        <v>926</v>
      </c>
    </row>
    <row r="1403" spans="1:10" s="506" customFormat="1" ht="15" customHeight="1">
      <c r="A1403" s="512"/>
      <c r="B1403" s="514"/>
      <c r="C1403" s="3538" t="s">
        <v>745</v>
      </c>
      <c r="D1403" s="3539" t="s">
        <v>927</v>
      </c>
      <c r="E1403" s="3531">
        <v>0</v>
      </c>
      <c r="F1403" s="3532">
        <v>159</v>
      </c>
      <c r="G1403" s="3533">
        <v>157.43</v>
      </c>
      <c r="H1403" s="3518">
        <f t="shared" si="170"/>
        <v>0.99012578616352209</v>
      </c>
      <c r="J1403" s="444"/>
    </row>
    <row r="1404" spans="1:10" s="506" customFormat="1" ht="15" customHeight="1">
      <c r="A1404" s="512"/>
      <c r="B1404" s="514"/>
      <c r="C1404" s="3529" t="s">
        <v>746</v>
      </c>
      <c r="D1404" s="562" t="s">
        <v>602</v>
      </c>
      <c r="E1404" s="3540">
        <f>11900+5900</f>
        <v>17800</v>
      </c>
      <c r="F1404" s="3540">
        <v>17800</v>
      </c>
      <c r="G1404" s="3541">
        <v>13195.22</v>
      </c>
      <c r="H1404" s="3518">
        <f t="shared" si="170"/>
        <v>0.74130449438202239</v>
      </c>
      <c r="J1404" s="444"/>
    </row>
    <row r="1405" spans="1:10" s="506" customFormat="1" ht="15" customHeight="1">
      <c r="A1405" s="512"/>
      <c r="B1405" s="514"/>
      <c r="C1405" s="3542" t="s">
        <v>747</v>
      </c>
      <c r="D1405" s="3543" t="s">
        <v>602</v>
      </c>
      <c r="E1405" s="3544">
        <f>2100+1100</f>
        <v>3200</v>
      </c>
      <c r="F1405" s="3544">
        <v>3200</v>
      </c>
      <c r="G1405" s="3545">
        <v>2352.2800000000002</v>
      </c>
      <c r="H1405" s="3518">
        <f t="shared" si="170"/>
        <v>0.73508750000000012</v>
      </c>
      <c r="J1405" s="444"/>
    </row>
    <row r="1406" spans="1:10" s="506" customFormat="1" ht="15" customHeight="1">
      <c r="A1406" s="512"/>
      <c r="B1406" s="514"/>
      <c r="C1406" s="3546" t="s">
        <v>613</v>
      </c>
      <c r="D1406" s="3372" t="s">
        <v>571</v>
      </c>
      <c r="E1406" s="3544">
        <f>10092576+2547015</f>
        <v>12639591</v>
      </c>
      <c r="F1406" s="3544">
        <v>12639591</v>
      </c>
      <c r="G1406" s="3545">
        <v>12508341.82</v>
      </c>
      <c r="H1406" s="3518">
        <f t="shared" si="170"/>
        <v>0.9896160263413587</v>
      </c>
      <c r="J1406" s="444"/>
    </row>
    <row r="1407" spans="1:10" s="506" customFormat="1" ht="15" customHeight="1">
      <c r="A1407" s="512"/>
      <c r="B1407" s="514"/>
      <c r="C1407" s="3522" t="s">
        <v>614</v>
      </c>
      <c r="D1407" s="3523" t="s">
        <v>571</v>
      </c>
      <c r="E1407" s="630">
        <f>1781043+475072</f>
        <v>2256115</v>
      </c>
      <c r="F1407" s="630">
        <v>2256115</v>
      </c>
      <c r="G1407" s="1307">
        <v>2233969.0699999998</v>
      </c>
      <c r="H1407" s="3518">
        <f t="shared" si="170"/>
        <v>0.99018404203686416</v>
      </c>
      <c r="J1407" s="444"/>
    </row>
    <row r="1408" spans="1:10" s="506" customFormat="1" ht="15" customHeight="1">
      <c r="A1408" s="512"/>
      <c r="B1408" s="514"/>
      <c r="C1408" s="3508" t="s">
        <v>615</v>
      </c>
      <c r="D1408" s="3509" t="s">
        <v>572</v>
      </c>
      <c r="E1408" s="3544">
        <f>674442+170161</f>
        <v>844603</v>
      </c>
      <c r="F1408" s="3544">
        <v>816980</v>
      </c>
      <c r="G1408" s="3545">
        <v>813444.13</v>
      </c>
      <c r="H1408" s="3518">
        <f t="shared" si="170"/>
        <v>0.99567202379495212</v>
      </c>
      <c r="J1408" s="444"/>
    </row>
    <row r="1409" spans="1:10" s="506" customFormat="1" ht="15" customHeight="1">
      <c r="A1409" s="512"/>
      <c r="B1409" s="514"/>
      <c r="C1409" s="3508" t="s">
        <v>616</v>
      </c>
      <c r="D1409" s="3509" t="s">
        <v>572</v>
      </c>
      <c r="E1409" s="3544">
        <f>119019+31739</f>
        <v>150758</v>
      </c>
      <c r="F1409" s="3544">
        <v>145884</v>
      </c>
      <c r="G1409" s="3545">
        <v>145223.63</v>
      </c>
      <c r="H1409" s="3518">
        <f t="shared" si="170"/>
        <v>0.99547332126895349</v>
      </c>
      <c r="J1409" s="444"/>
    </row>
    <row r="1410" spans="1:10" s="506" customFormat="1" ht="15" customHeight="1">
      <c r="A1410" s="512"/>
      <c r="B1410" s="514"/>
      <c r="C1410" s="3508" t="s">
        <v>617</v>
      </c>
      <c r="D1410" s="3509" t="s">
        <v>573</v>
      </c>
      <c r="E1410" s="3544">
        <f>1850851+467083</f>
        <v>2317934</v>
      </c>
      <c r="F1410" s="3544">
        <v>2280130</v>
      </c>
      <c r="G1410" s="3545">
        <v>2229592.6800000002</v>
      </c>
      <c r="H1410" s="3518">
        <f t="shared" si="170"/>
        <v>0.97783577252174225</v>
      </c>
      <c r="J1410" s="444"/>
    </row>
    <row r="1411" spans="1:10" s="506" customFormat="1" ht="15" customHeight="1">
      <c r="A1411" s="512"/>
      <c r="B1411" s="514"/>
      <c r="C1411" s="3508" t="s">
        <v>618</v>
      </c>
      <c r="D1411" s="3509" t="s">
        <v>573</v>
      </c>
      <c r="E1411" s="3544">
        <f>326620+87121</f>
        <v>413741</v>
      </c>
      <c r="F1411" s="3544">
        <v>407070</v>
      </c>
      <c r="G1411" s="3545">
        <v>398201.11</v>
      </c>
      <c r="H1411" s="3518">
        <f t="shared" si="170"/>
        <v>0.97821286265261498</v>
      </c>
      <c r="J1411" s="444"/>
    </row>
    <row r="1412" spans="1:10" s="506" customFormat="1" ht="15" customHeight="1">
      <c r="A1412" s="512"/>
      <c r="B1412" s="514"/>
      <c r="C1412" s="3508" t="s">
        <v>619</v>
      </c>
      <c r="D1412" s="3509" t="s">
        <v>574</v>
      </c>
      <c r="E1412" s="3544">
        <f>263792+66571</f>
        <v>330363</v>
      </c>
      <c r="F1412" s="3544">
        <v>310790</v>
      </c>
      <c r="G1412" s="3545">
        <v>289852.28000000003</v>
      </c>
      <c r="H1412" s="3518">
        <f t="shared" si="170"/>
        <v>0.93263065092184438</v>
      </c>
      <c r="J1412" s="444"/>
    </row>
    <row r="1413" spans="1:10" s="506" customFormat="1" ht="15" customHeight="1" thickBot="1">
      <c r="A1413" s="593"/>
      <c r="B1413" s="565"/>
      <c r="C1413" s="3517" t="s">
        <v>620</v>
      </c>
      <c r="D1413" s="3380" t="s">
        <v>574</v>
      </c>
      <c r="E1413" s="3547">
        <f>46552+12417</f>
        <v>58969</v>
      </c>
      <c r="F1413" s="3547">
        <v>55514</v>
      </c>
      <c r="G1413" s="3548">
        <v>51757.85</v>
      </c>
      <c r="H1413" s="2245">
        <f t="shared" si="170"/>
        <v>0.93233868933962605</v>
      </c>
      <c r="J1413" s="444"/>
    </row>
    <row r="1414" spans="1:10" s="506" customFormat="1" ht="15" customHeight="1">
      <c r="A1414" s="507"/>
      <c r="B1414" s="3303"/>
      <c r="C1414" s="3519" t="s">
        <v>621</v>
      </c>
      <c r="D1414" s="3520" t="s">
        <v>575</v>
      </c>
      <c r="E1414" s="3549">
        <f>12750</f>
        <v>12750</v>
      </c>
      <c r="F1414" s="3549">
        <v>12750</v>
      </c>
      <c r="G1414" s="3550">
        <v>3400</v>
      </c>
      <c r="H1414" s="3551">
        <f t="shared" si="170"/>
        <v>0.26666666666666666</v>
      </c>
      <c r="J1414" s="444"/>
    </row>
    <row r="1415" spans="1:10" s="506" customFormat="1" ht="15" customHeight="1">
      <c r="A1415" s="512"/>
      <c r="B1415" s="514"/>
      <c r="C1415" s="3508" t="s">
        <v>622</v>
      </c>
      <c r="D1415" s="3509" t="s">
        <v>575</v>
      </c>
      <c r="E1415" s="3506">
        <v>2250</v>
      </c>
      <c r="F1415" s="3506">
        <v>2250</v>
      </c>
      <c r="G1415" s="3507">
        <v>600</v>
      </c>
      <c r="H1415" s="3518">
        <f t="shared" si="170"/>
        <v>0.26666666666666666</v>
      </c>
      <c r="J1415" s="444"/>
    </row>
    <row r="1416" spans="1:10" s="506" customFormat="1" ht="15" customHeight="1">
      <c r="A1416" s="512"/>
      <c r="B1416" s="514"/>
      <c r="C1416" s="3508" t="s">
        <v>626</v>
      </c>
      <c r="D1416" s="3509" t="s">
        <v>579</v>
      </c>
      <c r="E1416" s="3506">
        <f>209950+62366</f>
        <v>272316</v>
      </c>
      <c r="F1416" s="3506">
        <v>263816</v>
      </c>
      <c r="G1416" s="3507">
        <v>190214.09</v>
      </c>
      <c r="H1416" s="3518">
        <f t="shared" si="170"/>
        <v>0.72101043909391394</v>
      </c>
      <c r="J1416" s="444"/>
    </row>
    <row r="1417" spans="1:10" s="506" customFormat="1" ht="15" customHeight="1">
      <c r="A1417" s="512"/>
      <c r="B1417" s="514"/>
      <c r="C1417" s="3508" t="s">
        <v>627</v>
      </c>
      <c r="D1417" s="3509" t="s">
        <v>579</v>
      </c>
      <c r="E1417" s="3506">
        <f>37050+11634</f>
        <v>48684</v>
      </c>
      <c r="F1417" s="3506">
        <v>47184</v>
      </c>
      <c r="G1417" s="3507">
        <v>33830.9</v>
      </c>
      <c r="H1417" s="3518">
        <f t="shared" si="170"/>
        <v>0.71699940657850125</v>
      </c>
      <c r="J1417" s="444"/>
    </row>
    <row r="1418" spans="1:10" s="506" customFormat="1" ht="15" customHeight="1">
      <c r="A1418" s="512"/>
      <c r="B1418" s="514"/>
      <c r="C1418" s="3508" t="s">
        <v>752</v>
      </c>
      <c r="D1418" s="3509" t="s">
        <v>581</v>
      </c>
      <c r="E1418" s="3506">
        <f>314925+76695</f>
        <v>391620</v>
      </c>
      <c r="F1418" s="3506">
        <v>272620</v>
      </c>
      <c r="G1418" s="3507">
        <v>199663.13</v>
      </c>
      <c r="H1418" s="3518">
        <f t="shared" si="170"/>
        <v>0.73238621524466296</v>
      </c>
      <c r="J1418" s="444"/>
    </row>
    <row r="1419" spans="1:10" s="506" customFormat="1" ht="15" customHeight="1">
      <c r="A1419" s="512"/>
      <c r="B1419" s="514"/>
      <c r="C1419" s="3508" t="s">
        <v>753</v>
      </c>
      <c r="D1419" s="3509" t="s">
        <v>581</v>
      </c>
      <c r="E1419" s="3506">
        <f>55575+14305</f>
        <v>69880</v>
      </c>
      <c r="F1419" s="3506">
        <v>48880</v>
      </c>
      <c r="G1419" s="3507">
        <v>35632.1</v>
      </c>
      <c r="H1419" s="3518">
        <f t="shared" si="170"/>
        <v>0.72897094926350248</v>
      </c>
      <c r="J1419" s="444"/>
    </row>
    <row r="1420" spans="1:10" s="506" customFormat="1" ht="15" customHeight="1">
      <c r="A1420" s="512"/>
      <c r="B1420" s="514"/>
      <c r="C1420" s="3552" t="s">
        <v>628</v>
      </c>
      <c r="D1420" s="3553" t="s">
        <v>582</v>
      </c>
      <c r="E1420" s="3506">
        <f>41650+11378</f>
        <v>53028</v>
      </c>
      <c r="F1420" s="3506">
        <v>53028</v>
      </c>
      <c r="G1420" s="3507">
        <v>33460.29</v>
      </c>
      <c r="H1420" s="3518">
        <f t="shared" si="170"/>
        <v>0.63099287169042773</v>
      </c>
      <c r="J1420" s="444"/>
    </row>
    <row r="1421" spans="1:10" s="506" customFormat="1" ht="15" customHeight="1">
      <c r="A1421" s="512"/>
      <c r="B1421" s="514"/>
      <c r="C1421" s="3552" t="s">
        <v>629</v>
      </c>
      <c r="D1421" s="3553" t="s">
        <v>582</v>
      </c>
      <c r="E1421" s="3506">
        <f>7350+2122</f>
        <v>9472</v>
      </c>
      <c r="F1421" s="3506">
        <v>9472</v>
      </c>
      <c r="G1421" s="3507">
        <v>5971.24</v>
      </c>
      <c r="H1421" s="3518">
        <f t="shared" si="170"/>
        <v>0.63040962837837833</v>
      </c>
      <c r="J1421" s="444"/>
    </row>
    <row r="1422" spans="1:10" s="506" customFormat="1" ht="15" customHeight="1">
      <c r="A1422" s="512"/>
      <c r="B1422" s="514"/>
      <c r="C1422" s="3450" t="s">
        <v>754</v>
      </c>
      <c r="D1422" s="3384" t="s">
        <v>583</v>
      </c>
      <c r="E1422" s="3506">
        <f>14620+2781</f>
        <v>17401</v>
      </c>
      <c r="F1422" s="3506">
        <v>17401</v>
      </c>
      <c r="G1422" s="3507">
        <v>9858.6200000000008</v>
      </c>
      <c r="H1422" s="3518">
        <f t="shared" si="170"/>
        <v>0.56655479570139655</v>
      </c>
      <c r="J1422" s="444"/>
    </row>
    <row r="1423" spans="1:10" s="506" customFormat="1" ht="15" customHeight="1">
      <c r="A1423" s="512"/>
      <c r="B1423" s="514"/>
      <c r="C1423" s="3542" t="s">
        <v>755</v>
      </c>
      <c r="D1423" s="3543" t="s">
        <v>583</v>
      </c>
      <c r="E1423" s="3506">
        <f>2580+519</f>
        <v>3099</v>
      </c>
      <c r="F1423" s="3506">
        <v>3099</v>
      </c>
      <c r="G1423" s="3507">
        <v>1754.73</v>
      </c>
      <c r="H1423" s="3518">
        <f t="shared" si="170"/>
        <v>0.56622458857696034</v>
      </c>
      <c r="J1423" s="444"/>
    </row>
    <row r="1424" spans="1:10" s="506" customFormat="1" ht="15" customHeight="1">
      <c r="A1424" s="514"/>
      <c r="B1424" s="514"/>
      <c r="C1424" s="3522" t="s">
        <v>630</v>
      </c>
      <c r="D1424" s="3523" t="s">
        <v>584</v>
      </c>
      <c r="E1424" s="3506">
        <f>570920+56805</f>
        <v>627725</v>
      </c>
      <c r="F1424" s="3506">
        <v>577820</v>
      </c>
      <c r="G1424" s="3507">
        <v>470502.3</v>
      </c>
      <c r="H1424" s="3518">
        <f t="shared" si="170"/>
        <v>0.8142713993977363</v>
      </c>
      <c r="J1424" s="444"/>
    </row>
    <row r="1425" spans="1:10" s="506" customFormat="1" ht="15" customHeight="1">
      <c r="A1425" s="512"/>
      <c r="B1425" s="514"/>
      <c r="C1425" s="3508" t="s">
        <v>631</v>
      </c>
      <c r="D1425" s="3509" t="s">
        <v>584</v>
      </c>
      <c r="E1425" s="3506">
        <f>100750+10595</f>
        <v>111345</v>
      </c>
      <c r="F1425" s="3506">
        <v>102539</v>
      </c>
      <c r="G1425" s="3507">
        <v>83355.179999999993</v>
      </c>
      <c r="H1425" s="3518">
        <f t="shared" si="170"/>
        <v>0.81291196520348352</v>
      </c>
      <c r="J1425" s="444"/>
    </row>
    <row r="1426" spans="1:10" s="506" customFormat="1" ht="15" customHeight="1">
      <c r="A1426" s="512"/>
      <c r="B1426" s="514"/>
      <c r="C1426" s="3508" t="s">
        <v>796</v>
      </c>
      <c r="D1426" s="3509" t="s">
        <v>585</v>
      </c>
      <c r="E1426" s="3506">
        <f>21250+8428</f>
        <v>29678</v>
      </c>
      <c r="F1426" s="3506">
        <v>29678</v>
      </c>
      <c r="G1426" s="3507">
        <v>21238.78</v>
      </c>
      <c r="H1426" s="3518">
        <f t="shared" si="170"/>
        <v>0.7156405418154862</v>
      </c>
      <c r="J1426" s="444"/>
    </row>
    <row r="1427" spans="1:10" s="506" customFormat="1" ht="15" customHeight="1">
      <c r="A1427" s="512"/>
      <c r="B1427" s="514"/>
      <c r="C1427" s="3508" t="s">
        <v>798</v>
      </c>
      <c r="D1427" s="3509" t="s">
        <v>585</v>
      </c>
      <c r="E1427" s="3506">
        <f>3750+1572</f>
        <v>5322</v>
      </c>
      <c r="F1427" s="3506">
        <v>5322</v>
      </c>
      <c r="G1427" s="3507">
        <v>3790.33</v>
      </c>
      <c r="H1427" s="3518">
        <f t="shared" si="170"/>
        <v>0.71220030063885753</v>
      </c>
      <c r="J1427" s="444"/>
    </row>
    <row r="1428" spans="1:10" s="506" customFormat="1" ht="15" customHeight="1">
      <c r="A1428" s="512"/>
      <c r="B1428" s="514"/>
      <c r="C1428" s="3508" t="s">
        <v>757</v>
      </c>
      <c r="D1428" s="3509" t="s">
        <v>742</v>
      </c>
      <c r="E1428" s="3506">
        <v>1530</v>
      </c>
      <c r="F1428" s="3506">
        <v>1530</v>
      </c>
      <c r="G1428" s="3507">
        <v>0</v>
      </c>
      <c r="H1428" s="3518">
        <f t="shared" si="170"/>
        <v>0</v>
      </c>
      <c r="J1428" s="444"/>
    </row>
    <row r="1429" spans="1:10" s="506" customFormat="1" ht="15" customHeight="1">
      <c r="A1429" s="512"/>
      <c r="B1429" s="514"/>
      <c r="C1429" s="3508" t="s">
        <v>758</v>
      </c>
      <c r="D1429" s="3509" t="s">
        <v>742</v>
      </c>
      <c r="E1429" s="3506">
        <v>270</v>
      </c>
      <c r="F1429" s="3506">
        <v>270</v>
      </c>
      <c r="G1429" s="3507">
        <v>0</v>
      </c>
      <c r="H1429" s="3518">
        <f t="shared" si="170"/>
        <v>0</v>
      </c>
      <c r="J1429" s="444"/>
    </row>
    <row r="1430" spans="1:10" s="506" customFormat="1" ht="27" customHeight="1">
      <c r="A1430" s="512"/>
      <c r="B1430" s="514"/>
      <c r="C1430" s="3508" t="s">
        <v>799</v>
      </c>
      <c r="D1430" s="3509" t="s">
        <v>588</v>
      </c>
      <c r="E1430" s="3521">
        <v>61200</v>
      </c>
      <c r="F1430" s="3493">
        <v>61200</v>
      </c>
      <c r="G1430" s="3494">
        <v>0</v>
      </c>
      <c r="H1430" s="3518">
        <f t="shared" si="170"/>
        <v>0</v>
      </c>
      <c r="J1430" s="444"/>
    </row>
    <row r="1431" spans="1:10" s="506" customFormat="1" ht="27" customHeight="1">
      <c r="A1431" s="512"/>
      <c r="B1431" s="514"/>
      <c r="C1431" s="3508" t="s">
        <v>800</v>
      </c>
      <c r="D1431" s="3509" t="s">
        <v>588</v>
      </c>
      <c r="E1431" s="3521">
        <v>10800</v>
      </c>
      <c r="F1431" s="3493">
        <v>10800</v>
      </c>
      <c r="G1431" s="3494">
        <v>0</v>
      </c>
      <c r="H1431" s="3518">
        <f t="shared" si="170"/>
        <v>0</v>
      </c>
      <c r="J1431" s="444"/>
    </row>
    <row r="1432" spans="1:10" s="506" customFormat="1" ht="15" customHeight="1">
      <c r="A1432" s="512"/>
      <c r="B1432" s="514"/>
      <c r="C1432" s="3508" t="s">
        <v>632</v>
      </c>
      <c r="D1432" s="3509" t="s">
        <v>589</v>
      </c>
      <c r="E1432" s="3506">
        <f>40800+12642</f>
        <v>53442</v>
      </c>
      <c r="F1432" s="3506">
        <v>40692</v>
      </c>
      <c r="G1432" s="3507">
        <v>14374.19</v>
      </c>
      <c r="H1432" s="3518">
        <f t="shared" si="170"/>
        <v>0.35324363511255286</v>
      </c>
      <c r="J1432" s="444"/>
    </row>
    <row r="1433" spans="1:10" s="506" customFormat="1" ht="15" customHeight="1">
      <c r="A1433" s="512"/>
      <c r="B1433" s="514"/>
      <c r="C1433" s="3508" t="s">
        <v>633</v>
      </c>
      <c r="D1433" s="3509" t="s">
        <v>589</v>
      </c>
      <c r="E1433" s="3506">
        <f>7200+2358</f>
        <v>9558</v>
      </c>
      <c r="F1433" s="3506">
        <v>7308</v>
      </c>
      <c r="G1433" s="3507">
        <v>2558.41</v>
      </c>
      <c r="H1433" s="3518">
        <f t="shared" si="170"/>
        <v>0.35008347016967706</v>
      </c>
      <c r="J1433" s="444"/>
    </row>
    <row r="1434" spans="1:10" s="506" customFormat="1" ht="15" customHeight="1">
      <c r="A1434" s="512"/>
      <c r="B1434" s="514"/>
      <c r="C1434" s="3508" t="s">
        <v>634</v>
      </c>
      <c r="D1434" s="3554" t="s">
        <v>592</v>
      </c>
      <c r="E1434" s="3506">
        <f>8075+2107</f>
        <v>10182</v>
      </c>
      <c r="F1434" s="3506">
        <v>10182</v>
      </c>
      <c r="G1434" s="3507">
        <v>8534.7000000000007</v>
      </c>
      <c r="H1434" s="3518">
        <f t="shared" si="170"/>
        <v>0.83821449616971133</v>
      </c>
      <c r="J1434" s="444"/>
    </row>
    <row r="1435" spans="1:10" s="506" customFormat="1" ht="15" customHeight="1">
      <c r="A1435" s="512"/>
      <c r="B1435" s="514"/>
      <c r="C1435" s="3508" t="s">
        <v>635</v>
      </c>
      <c r="D1435" s="3554" t="s">
        <v>592</v>
      </c>
      <c r="E1435" s="3506">
        <f>1425+393</f>
        <v>1818</v>
      </c>
      <c r="F1435" s="3506">
        <v>1818</v>
      </c>
      <c r="G1435" s="3507">
        <v>1522.95</v>
      </c>
      <c r="H1435" s="3518">
        <f t="shared" si="170"/>
        <v>0.83770627062706271</v>
      </c>
      <c r="J1435" s="444"/>
    </row>
    <row r="1436" spans="1:10" s="506" customFormat="1" ht="15" customHeight="1">
      <c r="A1436" s="514"/>
      <c r="B1436" s="514"/>
      <c r="C1436" s="3450" t="s">
        <v>764</v>
      </c>
      <c r="D1436" s="3384" t="s">
        <v>648</v>
      </c>
      <c r="E1436" s="3506">
        <f>4250+843</f>
        <v>5093</v>
      </c>
      <c r="F1436" s="3506">
        <v>5093</v>
      </c>
      <c r="G1436" s="3507">
        <v>0</v>
      </c>
      <c r="H1436" s="3518">
        <f t="shared" si="170"/>
        <v>0</v>
      </c>
      <c r="J1436" s="444"/>
    </row>
    <row r="1437" spans="1:10" s="506" customFormat="1" ht="15" customHeight="1">
      <c r="A1437" s="512"/>
      <c r="B1437" s="514"/>
      <c r="C1437" s="3522" t="s">
        <v>765</v>
      </c>
      <c r="D1437" s="3523" t="s">
        <v>648</v>
      </c>
      <c r="E1437" s="3506">
        <f>750+157</f>
        <v>907</v>
      </c>
      <c r="F1437" s="3506">
        <v>907</v>
      </c>
      <c r="G1437" s="3507">
        <v>0</v>
      </c>
      <c r="H1437" s="3518">
        <f t="shared" si="170"/>
        <v>0</v>
      </c>
      <c r="J1437" s="444"/>
    </row>
    <row r="1438" spans="1:10" s="506" customFormat="1" ht="15" customHeight="1">
      <c r="A1438" s="512"/>
      <c r="B1438" s="514"/>
      <c r="C1438" s="3508" t="s">
        <v>636</v>
      </c>
      <c r="D1438" s="3509" t="s">
        <v>600</v>
      </c>
      <c r="E1438" s="3506">
        <f>110500+35398</f>
        <v>145898</v>
      </c>
      <c r="F1438" s="3506">
        <v>145898</v>
      </c>
      <c r="G1438" s="3507">
        <v>128502.12</v>
      </c>
      <c r="H1438" s="3518">
        <f t="shared" si="170"/>
        <v>0.88076683710537496</v>
      </c>
      <c r="J1438" s="444"/>
    </row>
    <row r="1439" spans="1:10" s="506" customFormat="1" ht="15" customHeight="1">
      <c r="A1439" s="512"/>
      <c r="B1439" s="514"/>
      <c r="C1439" s="3552" t="s">
        <v>637</v>
      </c>
      <c r="D1439" s="3553" t="s">
        <v>600</v>
      </c>
      <c r="E1439" s="3506">
        <f>19500+6602</f>
        <v>26102</v>
      </c>
      <c r="F1439" s="3506">
        <v>26102</v>
      </c>
      <c r="G1439" s="3507">
        <v>22899.34</v>
      </c>
      <c r="H1439" s="3518">
        <f t="shared" si="170"/>
        <v>0.87730212244272465</v>
      </c>
      <c r="J1439" s="444"/>
    </row>
    <row r="1440" spans="1:10" s="506" customFormat="1" ht="15" customHeight="1">
      <c r="A1440" s="512"/>
      <c r="B1440" s="512"/>
      <c r="C1440" s="3555" t="s">
        <v>638</v>
      </c>
      <c r="D1440" s="3535" t="s">
        <v>576</v>
      </c>
      <c r="E1440" s="3544">
        <f>53835+13587</f>
        <v>67422</v>
      </c>
      <c r="F1440" s="3544">
        <v>67422</v>
      </c>
      <c r="G1440" s="3545">
        <v>63874.67</v>
      </c>
      <c r="H1440" s="3518">
        <f t="shared" si="170"/>
        <v>0.94738616475334458</v>
      </c>
      <c r="J1440" s="444"/>
    </row>
    <row r="1441" spans="1:10" s="506" customFormat="1" ht="15" customHeight="1">
      <c r="A1441" s="512"/>
      <c r="B1441" s="512"/>
      <c r="C1441" s="3555" t="s">
        <v>639</v>
      </c>
      <c r="D1441" s="3535" t="s">
        <v>576</v>
      </c>
      <c r="E1441" s="3544">
        <f>9500+2534</f>
        <v>12034</v>
      </c>
      <c r="F1441" s="3544">
        <v>12034</v>
      </c>
      <c r="G1441" s="3545">
        <v>11401.98</v>
      </c>
      <c r="H1441" s="3518">
        <f t="shared" si="170"/>
        <v>0.94748047199601126</v>
      </c>
      <c r="J1441" s="444"/>
    </row>
    <row r="1442" spans="1:10" s="506" customFormat="1" ht="15" customHeight="1" thickBot="1">
      <c r="A1442" s="565"/>
      <c r="B1442" s="565"/>
      <c r="C1442" s="2880"/>
      <c r="D1442" s="2881"/>
      <c r="E1442" s="3556"/>
      <c r="F1442" s="3557"/>
      <c r="G1442" s="3558"/>
      <c r="H1442" s="2245"/>
      <c r="J1442" s="444"/>
    </row>
    <row r="1443" spans="1:10" s="506" customFormat="1" ht="15" customHeight="1">
      <c r="A1443" s="507"/>
      <c r="B1443" s="3303"/>
      <c r="C1443" s="5227" t="s">
        <v>603</v>
      </c>
      <c r="D1443" s="5227"/>
      <c r="E1443" s="2942">
        <f>SUM(E1444)</f>
        <v>417800</v>
      </c>
      <c r="F1443" s="2945">
        <f>SUM(F1444)</f>
        <v>217800</v>
      </c>
      <c r="G1443" s="2946">
        <f>SUM(G1444)</f>
        <v>201310</v>
      </c>
      <c r="H1443" s="3016">
        <f t="shared" ref="H1443:H1467" si="171">G1443/F1443</f>
        <v>0.92428833792470155</v>
      </c>
      <c r="J1443" s="444"/>
    </row>
    <row r="1444" spans="1:10" s="506" customFormat="1" ht="15" customHeight="1">
      <c r="A1444" s="512"/>
      <c r="B1444" s="514"/>
      <c r="C1444" s="5228" t="s">
        <v>604</v>
      </c>
      <c r="D1444" s="5228"/>
      <c r="E1444" s="3559">
        <f>SUM(E1445:E1446)</f>
        <v>417800</v>
      </c>
      <c r="F1444" s="3560">
        <f>SUM(F1445:F1446)</f>
        <v>217800</v>
      </c>
      <c r="G1444" s="3561">
        <f>SUM(G1445:G1446)</f>
        <v>201310</v>
      </c>
      <c r="H1444" s="3518">
        <f t="shared" si="171"/>
        <v>0.92428833792470155</v>
      </c>
      <c r="J1444" s="444"/>
    </row>
    <row r="1445" spans="1:10" s="506" customFormat="1" ht="15" customHeight="1">
      <c r="A1445" s="512"/>
      <c r="B1445" s="514"/>
      <c r="C1445" s="3508" t="s">
        <v>339</v>
      </c>
      <c r="D1445" s="3509" t="s">
        <v>671</v>
      </c>
      <c r="E1445" s="3521">
        <v>227800</v>
      </c>
      <c r="F1445" s="3493">
        <v>27800</v>
      </c>
      <c r="G1445" s="3494">
        <v>24500</v>
      </c>
      <c r="H1445" s="3518">
        <f t="shared" si="171"/>
        <v>0.88129496402877694</v>
      </c>
      <c r="J1445" s="444"/>
    </row>
    <row r="1446" spans="1:10" s="506" customFormat="1" ht="15" customHeight="1" thickBot="1">
      <c r="A1446" s="512"/>
      <c r="B1446" s="514"/>
      <c r="C1446" s="3508" t="s">
        <v>354</v>
      </c>
      <c r="D1446" s="3509" t="s">
        <v>605</v>
      </c>
      <c r="E1446" s="3521">
        <v>190000</v>
      </c>
      <c r="F1446" s="3493">
        <v>190000</v>
      </c>
      <c r="G1446" s="3494">
        <v>176810</v>
      </c>
      <c r="H1446" s="3518">
        <f t="shared" si="171"/>
        <v>0.93057894736842106</v>
      </c>
      <c r="J1446" s="444"/>
    </row>
    <row r="1447" spans="1:10" s="506" customFormat="1" ht="15" customHeight="1" thickBot="1">
      <c r="A1447" s="512"/>
      <c r="B1447" s="508" t="s">
        <v>371</v>
      </c>
      <c r="C1447" s="2344"/>
      <c r="D1447" s="2345" t="s">
        <v>44</v>
      </c>
      <c r="E1447" s="511">
        <f>SUM(E1448)</f>
        <v>2444093</v>
      </c>
      <c r="F1447" s="485">
        <f t="shared" ref="F1447:G1448" si="172">SUM(F1448)</f>
        <v>4095282</v>
      </c>
      <c r="G1447" s="534">
        <f t="shared" si="172"/>
        <v>3329458.05</v>
      </c>
      <c r="H1447" s="699">
        <f t="shared" si="171"/>
        <v>0.8129984821558075</v>
      </c>
      <c r="J1447" s="444"/>
    </row>
    <row r="1448" spans="1:10" s="506" customFormat="1" ht="15" customHeight="1">
      <c r="A1448" s="512"/>
      <c r="B1448" s="4829"/>
      <c r="C1448" s="5229" t="s">
        <v>567</v>
      </c>
      <c r="D1448" s="5229"/>
      <c r="E1448" s="558">
        <f>SUM(E1449)</f>
        <v>2444093</v>
      </c>
      <c r="F1448" s="486">
        <f t="shared" si="172"/>
        <v>4095282</v>
      </c>
      <c r="G1448" s="605">
        <f t="shared" si="172"/>
        <v>3329458.05</v>
      </c>
      <c r="H1448" s="3562">
        <f t="shared" si="171"/>
        <v>0.8129984821558075</v>
      </c>
      <c r="J1448" s="444"/>
    </row>
    <row r="1449" spans="1:10" s="506" customFormat="1" ht="15" customHeight="1">
      <c r="A1449" s="512"/>
      <c r="B1449" s="4830"/>
      <c r="C1449" s="5230" t="s">
        <v>640</v>
      </c>
      <c r="D1449" s="5230"/>
      <c r="E1449" s="3563">
        <f>SUM(E1450:E1455)</f>
        <v>2444093</v>
      </c>
      <c r="F1449" s="3564">
        <f>SUM(F1450:F1455)</f>
        <v>4095282</v>
      </c>
      <c r="G1449" s="3565">
        <f>SUM(G1450:G1455)</f>
        <v>3329458.05</v>
      </c>
      <c r="H1449" s="3518">
        <f t="shared" si="171"/>
        <v>0.8129984821558075</v>
      </c>
      <c r="J1449" s="444"/>
    </row>
    <row r="1450" spans="1:10" s="506" customFormat="1" ht="56.25" customHeight="1">
      <c r="A1450" s="512"/>
      <c r="B1450" s="4830"/>
      <c r="C1450" s="3324" t="s">
        <v>611</v>
      </c>
      <c r="D1450" s="3566" t="s">
        <v>653</v>
      </c>
      <c r="E1450" s="3101">
        <v>2417975</v>
      </c>
      <c r="F1450" s="3100">
        <v>3759015</v>
      </c>
      <c r="G1450" s="3118">
        <v>3058989.62</v>
      </c>
      <c r="H1450" s="3567">
        <f t="shared" si="171"/>
        <v>0.81377425203144971</v>
      </c>
      <c r="J1450" s="444" t="s">
        <v>654</v>
      </c>
    </row>
    <row r="1451" spans="1:10" s="506" customFormat="1" ht="54" customHeight="1">
      <c r="A1451" s="514"/>
      <c r="B1451" s="4830"/>
      <c r="C1451" s="3546" t="s">
        <v>138</v>
      </c>
      <c r="D1451" s="3568" t="s">
        <v>612</v>
      </c>
      <c r="E1451" s="560">
        <v>26118</v>
      </c>
      <c r="F1451" s="481">
        <v>70214</v>
      </c>
      <c r="G1451" s="604">
        <v>4428.6000000000004</v>
      </c>
      <c r="H1451" s="3518">
        <f t="shared" si="171"/>
        <v>6.3072891446150345E-2</v>
      </c>
      <c r="J1451" s="444" t="s">
        <v>654</v>
      </c>
    </row>
    <row r="1452" spans="1:10" s="506" customFormat="1" ht="30.75" customHeight="1">
      <c r="A1452" s="512"/>
      <c r="B1452" s="4830"/>
      <c r="C1452" s="3569" t="s">
        <v>78</v>
      </c>
      <c r="D1452" s="3570" t="s">
        <v>702</v>
      </c>
      <c r="E1452" s="560">
        <v>0</v>
      </c>
      <c r="F1452" s="481">
        <v>10200</v>
      </c>
      <c r="G1452" s="604">
        <v>10200</v>
      </c>
      <c r="H1452" s="3518">
        <f t="shared" si="171"/>
        <v>1</v>
      </c>
      <c r="J1452" s="444"/>
    </row>
    <row r="1453" spans="1:10" s="506" customFormat="1" ht="51">
      <c r="A1453" s="512"/>
      <c r="B1453" s="4830"/>
      <c r="C1453" s="3338" t="s">
        <v>785</v>
      </c>
      <c r="D1453" s="3571" t="s">
        <v>786</v>
      </c>
      <c r="E1453" s="3101">
        <v>0</v>
      </c>
      <c r="F1453" s="3100">
        <v>2107</v>
      </c>
      <c r="G1453" s="3118">
        <v>2105.15</v>
      </c>
      <c r="H1453" s="3518">
        <f t="shared" si="171"/>
        <v>0.99912197437114381</v>
      </c>
      <c r="J1453" s="444"/>
    </row>
    <row r="1454" spans="1:10" s="506" customFormat="1" ht="51">
      <c r="A1454" s="514"/>
      <c r="B1454" s="4830"/>
      <c r="C1454" s="3522" t="s">
        <v>210</v>
      </c>
      <c r="D1454" s="3572" t="s">
        <v>786</v>
      </c>
      <c r="E1454" s="560">
        <v>0</v>
      </c>
      <c r="F1454" s="481">
        <v>1123</v>
      </c>
      <c r="G1454" s="604">
        <v>1120.78</v>
      </c>
      <c r="H1454" s="3518">
        <f t="shared" si="171"/>
        <v>0.99802315227070348</v>
      </c>
      <c r="J1454" s="444"/>
    </row>
    <row r="1455" spans="1:10" s="506" customFormat="1" ht="15" customHeight="1" thickBot="1">
      <c r="A1455" s="593"/>
      <c r="B1455" s="4831"/>
      <c r="C1455" s="3573" t="s">
        <v>211</v>
      </c>
      <c r="D1455" s="3574" t="s">
        <v>656</v>
      </c>
      <c r="E1455" s="567">
        <v>0</v>
      </c>
      <c r="F1455" s="503">
        <v>252623</v>
      </c>
      <c r="G1455" s="702">
        <v>252613.9</v>
      </c>
      <c r="H1455" s="2245">
        <f t="shared" si="171"/>
        <v>0.99996397794341763</v>
      </c>
      <c r="J1455" s="444"/>
    </row>
    <row r="1456" spans="1:10" s="444" customFormat="1" ht="15" customHeight="1" thickBot="1">
      <c r="A1456" s="2312" t="s">
        <v>370</v>
      </c>
      <c r="B1456" s="496"/>
      <c r="C1456" s="2314"/>
      <c r="D1456" s="2315" t="s">
        <v>928</v>
      </c>
      <c r="E1456" s="499">
        <f>SUM(E1457,E1480,E1500)</f>
        <v>2119245</v>
      </c>
      <c r="F1456" s="499">
        <f>SUM(F1457,F1480,F1500)</f>
        <v>2665198</v>
      </c>
      <c r="G1456" s="516">
        <f>SUM(G1457,G1480,G1500)</f>
        <v>2621165.67</v>
      </c>
      <c r="H1456" s="1112">
        <f t="shared" si="171"/>
        <v>0.98347877718653542</v>
      </c>
    </row>
    <row r="1457" spans="1:8" s="444" customFormat="1" ht="15" customHeight="1" thickBot="1">
      <c r="A1457" s="477"/>
      <c r="B1457" s="484" t="s">
        <v>929</v>
      </c>
      <c r="C1457" s="2049"/>
      <c r="D1457" s="2050" t="s">
        <v>247</v>
      </c>
      <c r="E1457" s="485">
        <f>SUM(E1458)</f>
        <v>1222611</v>
      </c>
      <c r="F1457" s="485">
        <f>SUM(F1458)</f>
        <v>1210629</v>
      </c>
      <c r="G1457" s="534">
        <f>SUM(G1458)</f>
        <v>1195262.51</v>
      </c>
      <c r="H1457" s="699">
        <f t="shared" si="171"/>
        <v>0.98730701973932555</v>
      </c>
    </row>
    <row r="1458" spans="1:8" s="444" customFormat="1" ht="15" customHeight="1">
      <c r="A1458" s="477"/>
      <c r="B1458" s="479"/>
      <c r="C1458" s="5239" t="s">
        <v>567</v>
      </c>
      <c r="D1458" s="5240"/>
      <c r="E1458" s="486">
        <f>SUM(E1459,E1477)</f>
        <v>1222611</v>
      </c>
      <c r="F1458" s="486">
        <f>SUM(F1459,F1477)</f>
        <v>1210629</v>
      </c>
      <c r="G1458" s="605">
        <f>SUM(G1459,G1477)</f>
        <v>1195262.51</v>
      </c>
      <c r="H1458" s="3562">
        <f t="shared" si="171"/>
        <v>0.98730701973932555</v>
      </c>
    </row>
    <row r="1459" spans="1:8" s="444" customFormat="1" ht="15" customHeight="1">
      <c r="A1459" s="477"/>
      <c r="B1459" s="479"/>
      <c r="C1459" s="5241" t="s">
        <v>568</v>
      </c>
      <c r="D1459" s="5241"/>
      <c r="E1459" s="3100">
        <f>SUM(E1460,E1469)</f>
        <v>1219168</v>
      </c>
      <c r="F1459" s="3100">
        <f>SUM(F1460,F1469)</f>
        <v>1202686</v>
      </c>
      <c r="G1459" s="3118">
        <f>SUM(G1460,G1469)</f>
        <v>1187319.8899999999</v>
      </c>
      <c r="H1459" s="3518">
        <f t="shared" si="171"/>
        <v>0.9872235063848751</v>
      </c>
    </row>
    <row r="1460" spans="1:8" s="444" customFormat="1" ht="15" customHeight="1">
      <c r="A1460" s="477"/>
      <c r="B1460" s="479"/>
      <c r="C1460" s="5246" t="s">
        <v>569</v>
      </c>
      <c r="D1460" s="5246"/>
      <c r="E1460" s="3104">
        <f>SUM(E1461:E1467)</f>
        <v>1096176</v>
      </c>
      <c r="F1460" s="3104">
        <f>SUM(F1461:F1467)</f>
        <v>1079694</v>
      </c>
      <c r="G1460" s="3119">
        <f>SUM(G1461:G1467)</f>
        <v>1065920.3199999998</v>
      </c>
      <c r="H1460" s="3575">
        <f t="shared" si="171"/>
        <v>0.98724297810305495</v>
      </c>
    </row>
    <row r="1461" spans="1:8" s="444" customFormat="1" ht="15" customHeight="1">
      <c r="A1461" s="477"/>
      <c r="B1461" s="479"/>
      <c r="C1461" s="3576" t="s">
        <v>337</v>
      </c>
      <c r="D1461" s="3577" t="s">
        <v>571</v>
      </c>
      <c r="E1461" s="3100">
        <v>647383</v>
      </c>
      <c r="F1461" s="3100">
        <v>628296</v>
      </c>
      <c r="G1461" s="3118">
        <v>628277.35</v>
      </c>
      <c r="H1461" s="3518">
        <f t="shared" si="171"/>
        <v>0.9999703165387015</v>
      </c>
    </row>
    <row r="1462" spans="1:8" s="444" customFormat="1" ht="15" customHeight="1">
      <c r="A1462" s="477"/>
      <c r="B1462" s="479"/>
      <c r="C1462" s="3576" t="s">
        <v>336</v>
      </c>
      <c r="D1462" s="3577" t="s">
        <v>572</v>
      </c>
      <c r="E1462" s="3100">
        <v>40127</v>
      </c>
      <c r="F1462" s="3100">
        <v>40127</v>
      </c>
      <c r="G1462" s="3118">
        <v>39685</v>
      </c>
      <c r="H1462" s="3518">
        <f t="shared" si="171"/>
        <v>0.98898497271164054</v>
      </c>
    </row>
    <row r="1463" spans="1:8" s="444" customFormat="1" ht="15" customHeight="1" thickBot="1">
      <c r="A1463" s="501"/>
      <c r="B1463" s="502"/>
      <c r="C1463" s="3457" t="s">
        <v>315</v>
      </c>
      <c r="D1463" s="3437" t="s">
        <v>573</v>
      </c>
      <c r="E1463" s="503">
        <v>149564</v>
      </c>
      <c r="F1463" s="503">
        <v>154570</v>
      </c>
      <c r="G1463" s="702">
        <v>146918.51</v>
      </c>
      <c r="H1463" s="2245">
        <f t="shared" si="171"/>
        <v>0.95049822087080293</v>
      </c>
    </row>
    <row r="1464" spans="1:8" s="444" customFormat="1" ht="15" customHeight="1">
      <c r="A1464" s="500"/>
      <c r="B1464" s="2966"/>
      <c r="C1464" s="3458" t="s">
        <v>314</v>
      </c>
      <c r="D1464" s="3459" t="s">
        <v>574</v>
      </c>
      <c r="E1464" s="2292">
        <v>21287</v>
      </c>
      <c r="F1464" s="2292">
        <v>13829</v>
      </c>
      <c r="G1464" s="2435">
        <v>11074.08</v>
      </c>
      <c r="H1464" s="2994">
        <f t="shared" si="171"/>
        <v>0.80078675247667941</v>
      </c>
    </row>
    <row r="1465" spans="1:8" s="444" customFormat="1" ht="15" customHeight="1">
      <c r="A1465" s="477"/>
      <c r="B1465" s="479"/>
      <c r="C1465" s="3576" t="s">
        <v>335</v>
      </c>
      <c r="D1465" s="3581" t="s">
        <v>576</v>
      </c>
      <c r="E1465" s="3100">
        <v>1851</v>
      </c>
      <c r="F1465" s="3100">
        <v>1851</v>
      </c>
      <c r="G1465" s="3118">
        <v>1779.42</v>
      </c>
      <c r="H1465" s="3580">
        <f t="shared" si="171"/>
        <v>0.96132901134521886</v>
      </c>
    </row>
    <row r="1466" spans="1:8" s="444" customFormat="1" ht="15" customHeight="1">
      <c r="A1466" s="477"/>
      <c r="B1466" s="479"/>
      <c r="C1466" s="3576" t="s">
        <v>843</v>
      </c>
      <c r="D1466" s="3577" t="s">
        <v>844</v>
      </c>
      <c r="E1466" s="3100">
        <v>222217</v>
      </c>
      <c r="F1466" s="3100">
        <v>227274</v>
      </c>
      <c r="G1466" s="3118">
        <v>225356</v>
      </c>
      <c r="H1466" s="3580">
        <f t="shared" si="171"/>
        <v>0.99156084725925531</v>
      </c>
    </row>
    <row r="1467" spans="1:8" s="444" customFormat="1" ht="15" customHeight="1">
      <c r="A1467" s="479"/>
      <c r="B1467" s="479"/>
      <c r="C1467" s="3390" t="s">
        <v>845</v>
      </c>
      <c r="D1467" s="3389" t="s">
        <v>846</v>
      </c>
      <c r="E1467" s="3100">
        <v>13747</v>
      </c>
      <c r="F1467" s="3100">
        <v>13747</v>
      </c>
      <c r="G1467" s="3118">
        <v>12829.96</v>
      </c>
      <c r="H1467" s="3580">
        <f t="shared" si="171"/>
        <v>0.93329162726413029</v>
      </c>
    </row>
    <row r="1468" spans="1:8" s="444" customFormat="1" ht="15" customHeight="1">
      <c r="A1468" s="479"/>
      <c r="B1468" s="479"/>
      <c r="C1468" s="3582"/>
      <c r="D1468" s="2663"/>
      <c r="E1468" s="3578"/>
      <c r="F1468" s="3578"/>
      <c r="G1468" s="3579"/>
      <c r="H1468" s="3580"/>
    </row>
    <row r="1469" spans="1:8" s="444" customFormat="1" ht="15" customHeight="1">
      <c r="A1469" s="477"/>
      <c r="B1469" s="479"/>
      <c r="C1469" s="5243" t="s">
        <v>577</v>
      </c>
      <c r="D1469" s="5243"/>
      <c r="E1469" s="3583">
        <f>SUM(E1470:E1475)</f>
        <v>122992</v>
      </c>
      <c r="F1469" s="3583">
        <f>SUM(F1470:F1475)</f>
        <v>122992</v>
      </c>
      <c r="G1469" s="3584">
        <f>SUM(G1470:G1475)</f>
        <v>121399.57</v>
      </c>
      <c r="H1469" s="3585">
        <f t="shared" ref="H1469:H1475" si="173">G1469/F1469</f>
        <v>0.9870525725250423</v>
      </c>
    </row>
    <row r="1470" spans="1:8" s="444" customFormat="1" ht="15" customHeight="1">
      <c r="A1470" s="477"/>
      <c r="B1470" s="479"/>
      <c r="C1470" s="3576" t="s">
        <v>313</v>
      </c>
      <c r="D1470" s="3577" t="s">
        <v>579</v>
      </c>
      <c r="E1470" s="3100">
        <v>36317</v>
      </c>
      <c r="F1470" s="3100">
        <v>36317</v>
      </c>
      <c r="G1470" s="3118">
        <v>36317</v>
      </c>
      <c r="H1470" s="3580">
        <f t="shared" si="173"/>
        <v>1</v>
      </c>
    </row>
    <row r="1471" spans="1:8" s="444" customFormat="1" ht="15" customHeight="1">
      <c r="A1471" s="477"/>
      <c r="B1471" s="479"/>
      <c r="C1471" s="3576" t="s">
        <v>331</v>
      </c>
      <c r="D1471" s="3577" t="s">
        <v>581</v>
      </c>
      <c r="E1471" s="3100">
        <v>48220</v>
      </c>
      <c r="F1471" s="3100">
        <v>47271</v>
      </c>
      <c r="G1471" s="3118">
        <v>47075.19</v>
      </c>
      <c r="H1471" s="3580">
        <f t="shared" si="173"/>
        <v>0.99585771403185885</v>
      </c>
    </row>
    <row r="1472" spans="1:8" s="444" customFormat="1" ht="15" customHeight="1">
      <c r="A1472" s="477"/>
      <c r="B1472" s="479"/>
      <c r="C1472" s="3576" t="s">
        <v>329</v>
      </c>
      <c r="D1472" s="3577" t="s">
        <v>583</v>
      </c>
      <c r="E1472" s="3100">
        <v>1812</v>
      </c>
      <c r="F1472" s="3100">
        <v>1812</v>
      </c>
      <c r="G1472" s="3118">
        <v>828</v>
      </c>
      <c r="H1472" s="3580">
        <f t="shared" si="173"/>
        <v>0.45695364238410596</v>
      </c>
    </row>
    <row r="1473" spans="1:8" s="444" customFormat="1" ht="15" customHeight="1">
      <c r="A1473" s="477"/>
      <c r="B1473" s="479"/>
      <c r="C1473" s="3576" t="s">
        <v>312</v>
      </c>
      <c r="D1473" s="3577" t="s">
        <v>584</v>
      </c>
      <c r="E1473" s="3100">
        <v>7618</v>
      </c>
      <c r="F1473" s="3100">
        <v>7618</v>
      </c>
      <c r="G1473" s="3118">
        <v>7404.83</v>
      </c>
      <c r="H1473" s="3580">
        <f t="shared" si="173"/>
        <v>0.97201758991861376</v>
      </c>
    </row>
    <row r="1474" spans="1:8" s="444" customFormat="1" ht="15" customHeight="1">
      <c r="A1474" s="477"/>
      <c r="B1474" s="5022"/>
      <c r="C1474" s="3576" t="s">
        <v>328</v>
      </c>
      <c r="D1474" s="3577" t="s">
        <v>670</v>
      </c>
      <c r="E1474" s="3100">
        <v>670</v>
      </c>
      <c r="F1474" s="3100">
        <v>670</v>
      </c>
      <c r="G1474" s="3118">
        <v>472.32</v>
      </c>
      <c r="H1474" s="3580">
        <f t="shared" si="173"/>
        <v>0.70495522388059706</v>
      </c>
    </row>
    <row r="1475" spans="1:8" s="444" customFormat="1" ht="15" customHeight="1">
      <c r="A1475" s="477"/>
      <c r="B1475" s="5022"/>
      <c r="C1475" s="3586" t="s">
        <v>324</v>
      </c>
      <c r="D1475" s="3587" t="s">
        <v>593</v>
      </c>
      <c r="E1475" s="3493">
        <v>28355</v>
      </c>
      <c r="F1475" s="3493">
        <v>29304</v>
      </c>
      <c r="G1475" s="3494">
        <v>29302.23</v>
      </c>
      <c r="H1475" s="3580">
        <f t="shared" si="173"/>
        <v>0.9999395986895987</v>
      </c>
    </row>
    <row r="1476" spans="1:8" s="444" customFormat="1" ht="15" customHeight="1">
      <c r="A1476" s="477"/>
      <c r="B1476" s="5022"/>
      <c r="C1476" s="3588"/>
      <c r="D1476" s="3589"/>
      <c r="E1476" s="3493"/>
      <c r="F1476" s="3493"/>
      <c r="G1476" s="3494"/>
      <c r="H1476" s="3580"/>
    </row>
    <row r="1477" spans="1:8" s="444" customFormat="1" ht="15" customHeight="1">
      <c r="A1477" s="477"/>
      <c r="B1477" s="5022"/>
      <c r="C1477" s="5223" t="s">
        <v>601</v>
      </c>
      <c r="D1477" s="5223"/>
      <c r="E1477" s="3578">
        <f>SUM(E1478:E1479)</f>
        <v>3443</v>
      </c>
      <c r="F1477" s="3578">
        <f t="shared" ref="F1477:G1477" si="174">SUM(F1478:F1479)</f>
        <v>7943</v>
      </c>
      <c r="G1477" s="3579">
        <f t="shared" si="174"/>
        <v>7942.62</v>
      </c>
      <c r="H1477" s="3580">
        <f t="shared" ref="H1477:H1487" si="175">G1477/F1477</f>
        <v>0.99995215913382851</v>
      </c>
    </row>
    <row r="1478" spans="1:8" s="444" customFormat="1" ht="15" customHeight="1">
      <c r="A1478" s="477"/>
      <c r="B1478" s="5022"/>
      <c r="C1478" s="3586" t="s">
        <v>321</v>
      </c>
      <c r="D1478" s="3587" t="s">
        <v>602</v>
      </c>
      <c r="E1478" s="3493">
        <v>3443</v>
      </c>
      <c r="F1478" s="3493">
        <v>3443</v>
      </c>
      <c r="G1478" s="3494">
        <v>3442.62</v>
      </c>
      <c r="H1478" s="3591">
        <f t="shared" si="175"/>
        <v>0.99988963113563745</v>
      </c>
    </row>
    <row r="1479" spans="1:8" s="444" customFormat="1" ht="15" customHeight="1" thickBot="1">
      <c r="A1479" s="477"/>
      <c r="B1479" s="479"/>
      <c r="C1479" s="3576" t="s">
        <v>848</v>
      </c>
      <c r="D1479" s="3592" t="s">
        <v>849</v>
      </c>
      <c r="E1479" s="3100">
        <v>0</v>
      </c>
      <c r="F1479" s="3100">
        <v>4500</v>
      </c>
      <c r="G1479" s="3118">
        <v>4500</v>
      </c>
      <c r="H1479" s="3580">
        <f>G1479/F1479</f>
        <v>1</v>
      </c>
    </row>
    <row r="1480" spans="1:8" s="444" customFormat="1" ht="15" customHeight="1" thickBot="1">
      <c r="A1480" s="477"/>
      <c r="B1480" s="484" t="s">
        <v>930</v>
      </c>
      <c r="C1480" s="2049"/>
      <c r="D1480" s="2050" t="s">
        <v>369</v>
      </c>
      <c r="E1480" s="485">
        <f>SUM(E1481)</f>
        <v>896634</v>
      </c>
      <c r="F1480" s="485">
        <f t="shared" ref="F1480:G1480" si="176">SUM(F1481)</f>
        <v>1234569</v>
      </c>
      <c r="G1480" s="534">
        <f t="shared" si="176"/>
        <v>1205903.1600000001</v>
      </c>
      <c r="H1480" s="699">
        <f t="shared" si="175"/>
        <v>0.97678069026518577</v>
      </c>
    </row>
    <row r="1481" spans="1:8" s="444" customFormat="1" ht="15" customHeight="1">
      <c r="A1481" s="477"/>
      <c r="B1481" s="479"/>
      <c r="C1481" s="5239" t="s">
        <v>567</v>
      </c>
      <c r="D1481" s="5240"/>
      <c r="E1481" s="3593">
        <f>SUM(E1482,E1497)</f>
        <v>896634</v>
      </c>
      <c r="F1481" s="3593">
        <f>SUM(F1482,F1497)</f>
        <v>1234569</v>
      </c>
      <c r="G1481" s="3594">
        <f>SUM(G1482,G1497)</f>
        <v>1205903.1600000001</v>
      </c>
      <c r="H1481" s="3595">
        <f t="shared" si="175"/>
        <v>0.97678069026518577</v>
      </c>
    </row>
    <row r="1482" spans="1:8" s="444" customFormat="1" ht="15" customHeight="1">
      <c r="A1482" s="477"/>
      <c r="B1482" s="479"/>
      <c r="C1482" s="5241" t="s">
        <v>568</v>
      </c>
      <c r="D1482" s="5241"/>
      <c r="E1482" s="3100">
        <f>SUM(E1483,E1489)</f>
        <v>894194</v>
      </c>
      <c r="F1482" s="3100">
        <f>SUM(F1483,F1489)</f>
        <v>1230229</v>
      </c>
      <c r="G1482" s="3118">
        <f>SUM(G1483,G1489)</f>
        <v>1201683.4200000002</v>
      </c>
      <c r="H1482" s="3580">
        <f t="shared" si="175"/>
        <v>0.97679653137749167</v>
      </c>
    </row>
    <row r="1483" spans="1:8" s="444" customFormat="1" ht="15" customHeight="1">
      <c r="A1483" s="477"/>
      <c r="B1483" s="479"/>
      <c r="C1483" s="5242" t="s">
        <v>569</v>
      </c>
      <c r="D1483" s="5242"/>
      <c r="E1483" s="3104">
        <f>SUM(E1484:E1487)</f>
        <v>83044</v>
      </c>
      <c r="F1483" s="3104">
        <f>SUM(F1484:F1487)</f>
        <v>72765</v>
      </c>
      <c r="G1483" s="3119">
        <f>SUM(G1484:G1487)</f>
        <v>72633.75</v>
      </c>
      <c r="H1483" s="3585">
        <f t="shared" si="175"/>
        <v>0.99819624819624819</v>
      </c>
    </row>
    <row r="1484" spans="1:8" s="444" customFormat="1" ht="15" customHeight="1">
      <c r="A1484" s="477"/>
      <c r="B1484" s="479"/>
      <c r="C1484" s="3390" t="s">
        <v>315</v>
      </c>
      <c r="D1484" s="3389" t="s">
        <v>573</v>
      </c>
      <c r="E1484" s="3100">
        <v>12103</v>
      </c>
      <c r="F1484" s="3100">
        <v>11287</v>
      </c>
      <c r="G1484" s="3118">
        <v>11191.7</v>
      </c>
      <c r="H1484" s="3580">
        <f t="shared" si="175"/>
        <v>0.99155665810224158</v>
      </c>
    </row>
    <row r="1485" spans="1:8" s="444" customFormat="1" ht="15" customHeight="1">
      <c r="A1485" s="477"/>
      <c r="B1485" s="479"/>
      <c r="C1485" s="3596" t="s">
        <v>314</v>
      </c>
      <c r="D1485" s="3597" t="s">
        <v>574</v>
      </c>
      <c r="E1485" s="3100">
        <v>536</v>
      </c>
      <c r="F1485" s="3100">
        <v>411</v>
      </c>
      <c r="G1485" s="3118">
        <v>405.94</v>
      </c>
      <c r="H1485" s="3580">
        <f t="shared" si="175"/>
        <v>0.98768856447688569</v>
      </c>
    </row>
    <row r="1486" spans="1:8" s="444" customFormat="1" ht="15" customHeight="1">
      <c r="A1486" s="477"/>
      <c r="B1486" s="479"/>
      <c r="C1486" s="3576" t="s">
        <v>843</v>
      </c>
      <c r="D1486" s="3577" t="s">
        <v>844</v>
      </c>
      <c r="E1486" s="3100">
        <v>64889</v>
      </c>
      <c r="F1486" s="3100">
        <v>58064</v>
      </c>
      <c r="G1486" s="3118">
        <v>58033.64</v>
      </c>
      <c r="H1486" s="3580">
        <f t="shared" si="175"/>
        <v>0.99947712868558836</v>
      </c>
    </row>
    <row r="1487" spans="1:8" s="444" customFormat="1" ht="15" customHeight="1">
      <c r="A1487" s="477"/>
      <c r="B1487" s="479"/>
      <c r="C1487" s="3576" t="s">
        <v>845</v>
      </c>
      <c r="D1487" s="3577" t="s">
        <v>846</v>
      </c>
      <c r="E1487" s="3493">
        <v>5516</v>
      </c>
      <c r="F1487" s="3493">
        <v>3003</v>
      </c>
      <c r="G1487" s="3494">
        <v>3002.47</v>
      </c>
      <c r="H1487" s="3580">
        <f t="shared" si="175"/>
        <v>0.99982350982350976</v>
      </c>
    </row>
    <row r="1488" spans="1:8" s="444" customFormat="1" ht="15" customHeight="1">
      <c r="A1488" s="479"/>
      <c r="B1488" s="479"/>
      <c r="C1488" s="3582"/>
      <c r="D1488" s="3598"/>
      <c r="E1488" s="3493"/>
      <c r="F1488" s="3493"/>
      <c r="G1488" s="3494"/>
      <c r="H1488" s="3580"/>
    </row>
    <row r="1489" spans="1:8" s="444" customFormat="1" ht="15" customHeight="1">
      <c r="A1489" s="477"/>
      <c r="B1489" s="479"/>
      <c r="C1489" s="5243" t="s">
        <v>577</v>
      </c>
      <c r="D1489" s="5243"/>
      <c r="E1489" s="3583">
        <f>SUM(E1490:E1495)</f>
        <v>811150</v>
      </c>
      <c r="F1489" s="3583">
        <f>SUM(F1490:F1495)</f>
        <v>1157464</v>
      </c>
      <c r="G1489" s="3584">
        <f>SUM(G1490:G1495)</f>
        <v>1129049.6700000002</v>
      </c>
      <c r="H1489" s="3585">
        <f t="shared" ref="H1489:H1495" si="177">G1489/F1489</f>
        <v>0.97545121921718525</v>
      </c>
    </row>
    <row r="1490" spans="1:8" s="444" customFormat="1" ht="15" customHeight="1">
      <c r="A1490" s="477"/>
      <c r="B1490" s="479"/>
      <c r="C1490" s="3576" t="s">
        <v>313</v>
      </c>
      <c r="D1490" s="3577" t="s">
        <v>579</v>
      </c>
      <c r="E1490" s="3493">
        <v>10000</v>
      </c>
      <c r="F1490" s="3493">
        <v>10000</v>
      </c>
      <c r="G1490" s="3494">
        <v>9547.94</v>
      </c>
      <c r="H1490" s="3580">
        <f t="shared" si="177"/>
        <v>0.95479400000000003</v>
      </c>
    </row>
    <row r="1491" spans="1:8" s="444" customFormat="1" ht="15" customHeight="1">
      <c r="A1491" s="477"/>
      <c r="B1491" s="479"/>
      <c r="C1491" s="3576" t="s">
        <v>331</v>
      </c>
      <c r="D1491" s="3577" t="s">
        <v>581</v>
      </c>
      <c r="E1491" s="3493">
        <v>250450</v>
      </c>
      <c r="F1491" s="3493">
        <v>254452</v>
      </c>
      <c r="G1491" s="3494">
        <v>246448.04</v>
      </c>
      <c r="H1491" s="3580">
        <f t="shared" si="177"/>
        <v>0.96854432270133461</v>
      </c>
    </row>
    <row r="1492" spans="1:8" s="444" customFormat="1" ht="15" customHeight="1">
      <c r="A1492" s="477"/>
      <c r="B1492" s="479"/>
      <c r="C1492" s="3599" t="s">
        <v>330</v>
      </c>
      <c r="D1492" s="3577" t="s">
        <v>582</v>
      </c>
      <c r="E1492" s="3493">
        <v>535650</v>
      </c>
      <c r="F1492" s="3493">
        <v>870920</v>
      </c>
      <c r="G1492" s="3494">
        <v>851960.41</v>
      </c>
      <c r="H1492" s="3580">
        <f t="shared" si="177"/>
        <v>0.97823038855463196</v>
      </c>
    </row>
    <row r="1493" spans="1:8" s="444" customFormat="1" ht="15" customHeight="1">
      <c r="A1493" s="477"/>
      <c r="B1493" s="479"/>
      <c r="C1493" s="3599" t="s">
        <v>329</v>
      </c>
      <c r="D1493" s="3577" t="s">
        <v>583</v>
      </c>
      <c r="E1493" s="3493">
        <v>200</v>
      </c>
      <c r="F1493" s="3493">
        <v>200</v>
      </c>
      <c r="G1493" s="3494">
        <v>0</v>
      </c>
      <c r="H1493" s="3580">
        <f t="shared" si="177"/>
        <v>0</v>
      </c>
    </row>
    <row r="1494" spans="1:8" s="444" customFormat="1" ht="15" customHeight="1">
      <c r="A1494" s="477"/>
      <c r="B1494" s="479"/>
      <c r="C1494" s="3599" t="s">
        <v>312</v>
      </c>
      <c r="D1494" s="3577" t="s">
        <v>584</v>
      </c>
      <c r="E1494" s="3493">
        <v>11500</v>
      </c>
      <c r="F1494" s="3493">
        <v>18000</v>
      </c>
      <c r="G1494" s="3494">
        <v>17201.28</v>
      </c>
      <c r="H1494" s="3580">
        <f t="shared" si="177"/>
        <v>0.95562666666666662</v>
      </c>
    </row>
    <row r="1495" spans="1:8" s="444" customFormat="1" ht="15" customHeight="1">
      <c r="A1495" s="477"/>
      <c r="B1495" s="586"/>
      <c r="C1495" s="3586" t="s">
        <v>324</v>
      </c>
      <c r="D1495" s="3587" t="s">
        <v>593</v>
      </c>
      <c r="E1495" s="3493">
        <v>3350</v>
      </c>
      <c r="F1495" s="3493">
        <v>3892</v>
      </c>
      <c r="G1495" s="3494">
        <v>3892</v>
      </c>
      <c r="H1495" s="3580">
        <f t="shared" si="177"/>
        <v>1</v>
      </c>
    </row>
    <row r="1496" spans="1:8" s="444" customFormat="1" ht="15" customHeight="1" thickBot="1">
      <c r="A1496" s="501"/>
      <c r="B1496" s="3007"/>
      <c r="C1496" s="3600"/>
      <c r="D1496" s="3601"/>
      <c r="E1496" s="3557"/>
      <c r="F1496" s="3557"/>
      <c r="G1496" s="3558"/>
      <c r="H1496" s="2245"/>
    </row>
    <row r="1497" spans="1:8" s="444" customFormat="1" ht="15" customHeight="1">
      <c r="A1497" s="500"/>
      <c r="B1497" s="3013"/>
      <c r="C1497" s="5244" t="s">
        <v>601</v>
      </c>
      <c r="D1497" s="5245"/>
      <c r="E1497" s="3602">
        <f>SUM(E1498:E1499)</f>
        <v>2440</v>
      </c>
      <c r="F1497" s="3602">
        <f t="shared" ref="F1497:G1497" si="178">SUM(F1498:F1499)</f>
        <v>4340</v>
      </c>
      <c r="G1497" s="3603">
        <f t="shared" si="178"/>
        <v>4219.74</v>
      </c>
      <c r="H1497" s="3551">
        <f>G1497/F1497</f>
        <v>0.97229032258064507</v>
      </c>
    </row>
    <row r="1498" spans="1:8" s="444" customFormat="1" ht="15" customHeight="1">
      <c r="A1498" s="477"/>
      <c r="B1498" s="586"/>
      <c r="C1498" s="3390" t="s">
        <v>321</v>
      </c>
      <c r="D1498" s="3389" t="s">
        <v>602</v>
      </c>
      <c r="E1498" s="3493">
        <v>2440</v>
      </c>
      <c r="F1498" s="3493">
        <v>2090</v>
      </c>
      <c r="G1498" s="3494">
        <v>1969.74</v>
      </c>
      <c r="H1498" s="3580">
        <f>G1498/F1498</f>
        <v>0.94245933014354066</v>
      </c>
    </row>
    <row r="1499" spans="1:8" s="444" customFormat="1" ht="15" customHeight="1" thickBot="1">
      <c r="A1499" s="477"/>
      <c r="B1499" s="479"/>
      <c r="C1499" s="3576" t="s">
        <v>848</v>
      </c>
      <c r="D1499" s="3592" t="s">
        <v>849</v>
      </c>
      <c r="E1499" s="3100">
        <v>0</v>
      </c>
      <c r="F1499" s="3100">
        <v>2250</v>
      </c>
      <c r="G1499" s="3118">
        <v>2250</v>
      </c>
      <c r="H1499" s="3580">
        <f>G1499/F1499</f>
        <v>1</v>
      </c>
    </row>
    <row r="1500" spans="1:8" s="444" customFormat="1" ht="15" customHeight="1" thickBot="1">
      <c r="A1500" s="477"/>
      <c r="B1500" s="484" t="s">
        <v>368</v>
      </c>
      <c r="C1500" s="2049"/>
      <c r="D1500" s="2050" t="s">
        <v>367</v>
      </c>
      <c r="E1500" s="527">
        <f>SUM(E1501,E1505)</f>
        <v>0</v>
      </c>
      <c r="F1500" s="527">
        <f t="shared" ref="F1500:G1500" si="179">SUM(F1501,F1505)</f>
        <v>220000</v>
      </c>
      <c r="G1500" s="536">
        <f t="shared" si="179"/>
        <v>220000</v>
      </c>
      <c r="H1500" s="699">
        <f t="shared" ref="H1500:H1503" si="180">G1500/F1500</f>
        <v>1</v>
      </c>
    </row>
    <row r="1501" spans="1:8" s="444" customFormat="1" ht="15" customHeight="1">
      <c r="A1501" s="477"/>
      <c r="B1501" s="632"/>
      <c r="C1501" s="4888" t="s">
        <v>567</v>
      </c>
      <c r="D1501" s="4888"/>
      <c r="E1501" s="529">
        <f t="shared" ref="E1501:G1502" si="181">SUM(E1502)</f>
        <v>0</v>
      </c>
      <c r="F1501" s="529">
        <f t="shared" si="181"/>
        <v>148000</v>
      </c>
      <c r="G1501" s="700">
        <f t="shared" si="181"/>
        <v>148000</v>
      </c>
      <c r="H1501" s="3595">
        <f t="shared" si="180"/>
        <v>1</v>
      </c>
    </row>
    <row r="1502" spans="1:8" s="444" customFormat="1" ht="15" customHeight="1">
      <c r="A1502" s="477"/>
      <c r="B1502" s="632"/>
      <c r="C1502" s="5253" t="s">
        <v>931</v>
      </c>
      <c r="D1502" s="5254"/>
      <c r="E1502" s="3307">
        <f t="shared" si="181"/>
        <v>0</v>
      </c>
      <c r="F1502" s="3307">
        <f t="shared" si="181"/>
        <v>148000</v>
      </c>
      <c r="G1502" s="3308">
        <f t="shared" si="181"/>
        <v>148000</v>
      </c>
      <c r="H1502" s="3580">
        <f t="shared" si="180"/>
        <v>1</v>
      </c>
    </row>
    <row r="1503" spans="1:8" s="444" customFormat="1" ht="31.5" customHeight="1">
      <c r="A1503" s="477"/>
      <c r="B1503" s="632"/>
      <c r="C1503" s="3604" t="s">
        <v>78</v>
      </c>
      <c r="D1503" s="3605" t="s">
        <v>702</v>
      </c>
      <c r="E1503" s="3100">
        <v>0</v>
      </c>
      <c r="F1503" s="3100">
        <v>148000</v>
      </c>
      <c r="G1503" s="3118">
        <v>148000</v>
      </c>
      <c r="H1503" s="3580">
        <f t="shared" si="180"/>
        <v>1</v>
      </c>
    </row>
    <row r="1504" spans="1:8" s="444" customFormat="1" ht="15" customHeight="1">
      <c r="A1504" s="477"/>
      <c r="B1504" s="632"/>
      <c r="C1504" s="3606"/>
      <c r="D1504" s="3607"/>
      <c r="E1504" s="3578"/>
      <c r="F1504" s="3578"/>
      <c r="G1504" s="3579"/>
      <c r="H1504" s="3580"/>
    </row>
    <row r="1505" spans="1:10" s="444" customFormat="1" ht="15" customHeight="1">
      <c r="A1505" s="477"/>
      <c r="B1505" s="4823"/>
      <c r="C1505" s="5249" t="s">
        <v>603</v>
      </c>
      <c r="D1505" s="5249"/>
      <c r="E1505" s="3608">
        <f>SUM(E1506)</f>
        <v>0</v>
      </c>
      <c r="F1505" s="3608">
        <f>SUM(F1506)</f>
        <v>72000</v>
      </c>
      <c r="G1505" s="3609">
        <f>SUM(G1506)</f>
        <v>72000</v>
      </c>
      <c r="H1505" s="3595">
        <f t="shared" ref="H1505:H1528" si="182">G1505/F1505</f>
        <v>1</v>
      </c>
    </row>
    <row r="1506" spans="1:10" s="444" customFormat="1" ht="15" customHeight="1">
      <c r="A1506" s="477"/>
      <c r="B1506" s="4823"/>
      <c r="C1506" s="5255" t="s">
        <v>604</v>
      </c>
      <c r="D1506" s="5256"/>
      <c r="E1506" s="3611">
        <f>SUM(E1507)</f>
        <v>0</v>
      </c>
      <c r="F1506" s="3611">
        <f t="shared" ref="F1506:G1506" si="183">SUM(F1507)</f>
        <v>72000</v>
      </c>
      <c r="G1506" s="3612">
        <f t="shared" si="183"/>
        <v>72000</v>
      </c>
      <c r="H1506" s="3580">
        <f t="shared" si="182"/>
        <v>1</v>
      </c>
    </row>
    <row r="1507" spans="1:10" s="444" customFormat="1" ht="39" thickBot="1">
      <c r="A1507" s="501"/>
      <c r="B1507" s="4840"/>
      <c r="C1507" s="3613" t="s">
        <v>310</v>
      </c>
      <c r="D1507" s="3614" t="s">
        <v>693</v>
      </c>
      <c r="E1507" s="503">
        <v>0</v>
      </c>
      <c r="F1507" s="503">
        <v>72000</v>
      </c>
      <c r="G1507" s="702">
        <v>72000</v>
      </c>
      <c r="H1507" s="2245">
        <f t="shared" si="182"/>
        <v>1</v>
      </c>
    </row>
    <row r="1508" spans="1:10" s="444" customFormat="1" ht="15" customHeight="1" thickBot="1">
      <c r="A1508" s="2312" t="s">
        <v>366</v>
      </c>
      <c r="B1508" s="496"/>
      <c r="C1508" s="2314"/>
      <c r="D1508" s="2315" t="s">
        <v>932</v>
      </c>
      <c r="E1508" s="499">
        <f>SUM(E1509,E1515,E1519,E1549)</f>
        <v>8790499</v>
      </c>
      <c r="F1508" s="499">
        <f>SUM(F1509,F1515,F1519,F1549)</f>
        <v>9598000</v>
      </c>
      <c r="G1508" s="516">
        <f>SUM(G1509,G1515,G1519,G1549)</f>
        <v>8207467.5599999996</v>
      </c>
      <c r="H1508" s="1112">
        <f t="shared" si="182"/>
        <v>0.85512268806001246</v>
      </c>
    </row>
    <row r="1509" spans="1:10" s="506" customFormat="1" ht="15" customHeight="1" thickBot="1">
      <c r="A1509" s="507"/>
      <c r="B1509" s="508" t="s">
        <v>933</v>
      </c>
      <c r="C1509" s="2344"/>
      <c r="D1509" s="2345" t="s">
        <v>934</v>
      </c>
      <c r="E1509" s="511">
        <f t="shared" ref="E1509:G1511" si="184">SUM(E1510)</f>
        <v>4312</v>
      </c>
      <c r="F1509" s="485">
        <f t="shared" si="184"/>
        <v>4312</v>
      </c>
      <c r="G1509" s="534">
        <f t="shared" si="184"/>
        <v>4299.63</v>
      </c>
      <c r="H1509" s="699">
        <f t="shared" si="182"/>
        <v>0.99713126159554732</v>
      </c>
      <c r="J1509" s="444"/>
    </row>
    <row r="1510" spans="1:10" s="506" customFormat="1" ht="15" customHeight="1">
      <c r="A1510" s="512"/>
      <c r="B1510" s="514"/>
      <c r="C1510" s="5252" t="s">
        <v>567</v>
      </c>
      <c r="D1510" s="5252"/>
      <c r="E1510" s="3618">
        <f t="shared" si="184"/>
        <v>4312</v>
      </c>
      <c r="F1510" s="3593">
        <f t="shared" si="184"/>
        <v>4312</v>
      </c>
      <c r="G1510" s="3594">
        <f t="shared" si="184"/>
        <v>4299.63</v>
      </c>
      <c r="H1510" s="3595">
        <f t="shared" si="182"/>
        <v>0.99713126159554732</v>
      </c>
      <c r="J1510" s="444" t="s">
        <v>701</v>
      </c>
    </row>
    <row r="1511" spans="1:10" s="506" customFormat="1" ht="15" customHeight="1">
      <c r="A1511" s="512"/>
      <c r="B1511" s="514"/>
      <c r="C1511" s="5247" t="s">
        <v>568</v>
      </c>
      <c r="D1511" s="5247"/>
      <c r="E1511" s="3101">
        <f t="shared" si="184"/>
        <v>4312</v>
      </c>
      <c r="F1511" s="3100">
        <f t="shared" si="184"/>
        <v>4312</v>
      </c>
      <c r="G1511" s="3118">
        <f t="shared" si="184"/>
        <v>4299.63</v>
      </c>
      <c r="H1511" s="3580">
        <f t="shared" si="182"/>
        <v>0.99713126159554732</v>
      </c>
      <c r="J1511" s="444"/>
    </row>
    <row r="1512" spans="1:10" s="506" customFormat="1" ht="15" customHeight="1">
      <c r="A1512" s="512"/>
      <c r="B1512" s="514"/>
      <c r="C1512" s="5248" t="s">
        <v>577</v>
      </c>
      <c r="D1512" s="5248"/>
      <c r="E1512" s="3105">
        <f>SUM(E1513:E1514)</f>
        <v>4312</v>
      </c>
      <c r="F1512" s="3104">
        <f>SUM(F1513:F1514)</f>
        <v>4312</v>
      </c>
      <c r="G1512" s="3119">
        <f>SUM(G1513:G1514)</f>
        <v>4299.63</v>
      </c>
      <c r="H1512" s="3580">
        <f t="shared" si="182"/>
        <v>0.99713126159554732</v>
      </c>
      <c r="J1512" s="444"/>
    </row>
    <row r="1513" spans="1:10" s="506" customFormat="1" ht="15" customHeight="1">
      <c r="A1513" s="512"/>
      <c r="B1513" s="514"/>
      <c r="C1513" s="3619" t="s">
        <v>313</v>
      </c>
      <c r="D1513" s="3620" t="s">
        <v>579</v>
      </c>
      <c r="E1513" s="3101">
        <v>1642</v>
      </c>
      <c r="F1513" s="3100">
        <v>1642</v>
      </c>
      <c r="G1513" s="3118">
        <v>1629.63</v>
      </c>
      <c r="H1513" s="3580">
        <f t="shared" si="182"/>
        <v>0.99246650426309391</v>
      </c>
      <c r="J1513" s="444"/>
    </row>
    <row r="1514" spans="1:10" s="506" customFormat="1" ht="15" customHeight="1" thickBot="1">
      <c r="A1514" s="514"/>
      <c r="B1514" s="565"/>
      <c r="C1514" s="3621" t="s">
        <v>312</v>
      </c>
      <c r="D1514" s="3622" t="s">
        <v>584</v>
      </c>
      <c r="E1514" s="567">
        <v>2670</v>
      </c>
      <c r="F1514" s="503">
        <v>2670</v>
      </c>
      <c r="G1514" s="702">
        <v>2670</v>
      </c>
      <c r="H1514" s="701">
        <f t="shared" si="182"/>
        <v>1</v>
      </c>
      <c r="J1514" s="444"/>
    </row>
    <row r="1515" spans="1:10" s="506" customFormat="1" ht="15" customHeight="1" thickBot="1">
      <c r="A1515" s="514"/>
      <c r="B1515" s="508" t="s">
        <v>935</v>
      </c>
      <c r="C1515" s="3152"/>
      <c r="D1515" s="2050" t="s">
        <v>249</v>
      </c>
      <c r="E1515" s="485">
        <f t="shared" ref="E1515:G1517" si="185">SUM(E1516)</f>
        <v>275000</v>
      </c>
      <c r="F1515" s="485">
        <f t="shared" si="185"/>
        <v>275000</v>
      </c>
      <c r="G1515" s="534">
        <f t="shared" si="185"/>
        <v>263108.65000000002</v>
      </c>
      <c r="H1515" s="699">
        <f t="shared" si="182"/>
        <v>0.95675872727272737</v>
      </c>
      <c r="J1515" s="444"/>
    </row>
    <row r="1516" spans="1:10" s="506" customFormat="1" ht="15" customHeight="1">
      <c r="A1516" s="512"/>
      <c r="B1516" s="514"/>
      <c r="C1516" s="5249" t="s">
        <v>567</v>
      </c>
      <c r="D1516" s="5249"/>
      <c r="E1516" s="3593">
        <f t="shared" si="185"/>
        <v>275000</v>
      </c>
      <c r="F1516" s="3593">
        <f t="shared" si="185"/>
        <v>275000</v>
      </c>
      <c r="G1516" s="3594">
        <f t="shared" si="185"/>
        <v>263108.65000000002</v>
      </c>
      <c r="H1516" s="3595">
        <f t="shared" si="182"/>
        <v>0.95675872727272737</v>
      </c>
      <c r="J1516" s="444" t="s">
        <v>701</v>
      </c>
    </row>
    <row r="1517" spans="1:10" s="506" customFormat="1" ht="15" customHeight="1">
      <c r="A1517" s="512"/>
      <c r="B1517" s="514"/>
      <c r="C1517" s="5250" t="s">
        <v>931</v>
      </c>
      <c r="D1517" s="5251"/>
      <c r="E1517" s="3100">
        <f t="shared" si="185"/>
        <v>275000</v>
      </c>
      <c r="F1517" s="3100">
        <f t="shared" si="185"/>
        <v>275000</v>
      </c>
      <c r="G1517" s="3118">
        <f t="shared" si="185"/>
        <v>263108.65000000002</v>
      </c>
      <c r="H1517" s="3580">
        <f t="shared" si="182"/>
        <v>0.95675872727272737</v>
      </c>
      <c r="J1517" s="444"/>
    </row>
    <row r="1518" spans="1:10" s="506" customFormat="1" ht="51.75" thickBot="1">
      <c r="A1518" s="512"/>
      <c r="B1518" s="514"/>
      <c r="C1518" s="3624" t="s">
        <v>91</v>
      </c>
      <c r="D1518" s="3623" t="s">
        <v>649</v>
      </c>
      <c r="E1518" s="3100">
        <v>275000</v>
      </c>
      <c r="F1518" s="3100">
        <v>275000</v>
      </c>
      <c r="G1518" s="3118">
        <v>263108.65000000002</v>
      </c>
      <c r="H1518" s="3580">
        <f t="shared" si="182"/>
        <v>0.95675872727272737</v>
      </c>
      <c r="J1518" s="444"/>
    </row>
    <row r="1519" spans="1:10" s="506" customFormat="1" ht="15" customHeight="1" thickBot="1">
      <c r="A1519" s="512"/>
      <c r="B1519" s="508" t="s">
        <v>364</v>
      </c>
      <c r="C1519" s="2344"/>
      <c r="D1519" s="2345" t="s">
        <v>250</v>
      </c>
      <c r="E1519" s="511">
        <f>SUM(E1520)</f>
        <v>1758000</v>
      </c>
      <c r="F1519" s="485">
        <f>SUM(F1520)</f>
        <v>2565501</v>
      </c>
      <c r="G1519" s="534">
        <f>SUM(G1520)</f>
        <v>2541499.4199999995</v>
      </c>
      <c r="H1519" s="699">
        <f t="shared" si="182"/>
        <v>0.99064448620366918</v>
      </c>
      <c r="J1519" s="444"/>
    </row>
    <row r="1520" spans="1:10" s="506" customFormat="1" ht="15" customHeight="1">
      <c r="A1520" s="512"/>
      <c r="B1520" s="514"/>
      <c r="C1520" s="5252" t="s">
        <v>567</v>
      </c>
      <c r="D1520" s="5252"/>
      <c r="E1520" s="3618">
        <f>SUM(E1521,E1547)</f>
        <v>1758000</v>
      </c>
      <c r="F1520" s="3593">
        <f>SUM(F1521,F1547)</f>
        <v>2565501</v>
      </c>
      <c r="G1520" s="3594">
        <f>SUM(G1521,G1547)</f>
        <v>2541499.4199999995</v>
      </c>
      <c r="H1520" s="3595">
        <f t="shared" si="182"/>
        <v>0.99064448620366918</v>
      </c>
      <c r="J1520" s="444" t="s">
        <v>701</v>
      </c>
    </row>
    <row r="1521" spans="1:10" s="506" customFormat="1" ht="15" customHeight="1">
      <c r="A1521" s="512"/>
      <c r="B1521" s="514"/>
      <c r="C1521" s="5247" t="s">
        <v>568</v>
      </c>
      <c r="D1521" s="5247"/>
      <c r="E1521" s="3101">
        <f>SUM(E1522,E1530)</f>
        <v>1750945</v>
      </c>
      <c r="F1521" s="3100">
        <f>SUM(F1522,F1530)</f>
        <v>2558731</v>
      </c>
      <c r="G1521" s="3118">
        <f>SUM(G1522,G1530)</f>
        <v>2534729.7699999996</v>
      </c>
      <c r="H1521" s="3580">
        <f t="shared" si="182"/>
        <v>0.99061986977138261</v>
      </c>
      <c r="J1521" s="444"/>
    </row>
    <row r="1522" spans="1:10" s="506" customFormat="1" ht="15" customHeight="1">
      <c r="A1522" s="512"/>
      <c r="B1522" s="514"/>
      <c r="C1522" s="5258" t="s">
        <v>569</v>
      </c>
      <c r="D1522" s="5258"/>
      <c r="E1522" s="3105">
        <f>SUM(E1523:E1528)</f>
        <v>1433568</v>
      </c>
      <c r="F1522" s="3104">
        <f>SUM(F1523:F1528)</f>
        <v>2115876</v>
      </c>
      <c r="G1522" s="3119">
        <f>SUM(G1523:G1528)</f>
        <v>2109537.3499999996</v>
      </c>
      <c r="H1522" s="3580">
        <f t="shared" si="182"/>
        <v>0.99700424315980696</v>
      </c>
      <c r="J1522" s="444"/>
    </row>
    <row r="1523" spans="1:10" s="506" customFormat="1" ht="15" customHeight="1">
      <c r="A1523" s="512"/>
      <c r="B1523" s="514"/>
      <c r="C1523" s="3619" t="s">
        <v>337</v>
      </c>
      <c r="D1523" s="3620" t="s">
        <v>571</v>
      </c>
      <c r="E1523" s="3100">
        <v>1085195</v>
      </c>
      <c r="F1523" s="3100">
        <v>1672234</v>
      </c>
      <c r="G1523" s="3118">
        <v>1670759.67</v>
      </c>
      <c r="H1523" s="3580">
        <f t="shared" si="182"/>
        <v>0.99911834707343583</v>
      </c>
      <c r="J1523" s="444"/>
    </row>
    <row r="1524" spans="1:10" s="506" customFormat="1" ht="15" customHeight="1" thickBot="1">
      <c r="A1524" s="593"/>
      <c r="B1524" s="565"/>
      <c r="C1524" s="3625" t="s">
        <v>336</v>
      </c>
      <c r="D1524" s="3622" t="s">
        <v>572</v>
      </c>
      <c r="E1524" s="567">
        <v>111218</v>
      </c>
      <c r="F1524" s="503">
        <v>95874</v>
      </c>
      <c r="G1524" s="702">
        <v>95873.84</v>
      </c>
      <c r="H1524" s="2245">
        <f t="shared" si="182"/>
        <v>0.99999833114295844</v>
      </c>
      <c r="J1524" s="444"/>
    </row>
    <row r="1525" spans="1:10" s="506" customFormat="1" ht="15" customHeight="1">
      <c r="A1525" s="507"/>
      <c r="B1525" s="3303"/>
      <c r="C1525" s="3626" t="s">
        <v>315</v>
      </c>
      <c r="D1525" s="3627" t="s">
        <v>573</v>
      </c>
      <c r="E1525" s="3628">
        <v>203864</v>
      </c>
      <c r="F1525" s="3629">
        <v>299669</v>
      </c>
      <c r="G1525" s="3630">
        <v>296569.67</v>
      </c>
      <c r="H1525" s="3631">
        <f t="shared" si="182"/>
        <v>0.9896574887626014</v>
      </c>
      <c r="J1525" s="444"/>
    </row>
    <row r="1526" spans="1:10" s="506" customFormat="1" ht="15" customHeight="1">
      <c r="A1526" s="512"/>
      <c r="B1526" s="514"/>
      <c r="C1526" s="3619" t="s">
        <v>314</v>
      </c>
      <c r="D1526" s="3620" t="s">
        <v>574</v>
      </c>
      <c r="E1526" s="3101">
        <v>28920</v>
      </c>
      <c r="F1526" s="3100">
        <v>35143</v>
      </c>
      <c r="G1526" s="3118">
        <v>33722.79</v>
      </c>
      <c r="H1526" s="3580">
        <f t="shared" si="182"/>
        <v>0.95958768460290811</v>
      </c>
      <c r="J1526" s="444"/>
    </row>
    <row r="1527" spans="1:10" ht="15" customHeight="1">
      <c r="A1527" s="517"/>
      <c r="B1527" s="522"/>
      <c r="C1527" s="3632" t="s">
        <v>319</v>
      </c>
      <c r="D1527" s="3633" t="s">
        <v>575</v>
      </c>
      <c r="E1527" s="3100">
        <v>0</v>
      </c>
      <c r="F1527" s="3100">
        <v>2700</v>
      </c>
      <c r="G1527" s="3118">
        <v>2700</v>
      </c>
      <c r="H1527" s="3580">
        <f t="shared" si="182"/>
        <v>1</v>
      </c>
    </row>
    <row r="1528" spans="1:10" s="506" customFormat="1" ht="15" customHeight="1">
      <c r="A1528" s="512"/>
      <c r="B1528" s="514"/>
      <c r="C1528" s="3634" t="s">
        <v>335</v>
      </c>
      <c r="D1528" s="3535" t="s">
        <v>576</v>
      </c>
      <c r="E1528" s="3101">
        <v>4371</v>
      </c>
      <c r="F1528" s="3100">
        <v>10256</v>
      </c>
      <c r="G1528" s="3118">
        <v>9911.3799999999992</v>
      </c>
      <c r="H1528" s="3580">
        <f t="shared" si="182"/>
        <v>0.966398205928237</v>
      </c>
      <c r="J1528" s="444"/>
    </row>
    <row r="1529" spans="1:10" ht="15" customHeight="1">
      <c r="A1529" s="517"/>
      <c r="B1529" s="522"/>
      <c r="C1529" s="561"/>
      <c r="D1529" s="561"/>
      <c r="E1529" s="3126"/>
      <c r="F1529" s="3100"/>
      <c r="G1529" s="3118"/>
      <c r="H1529" s="3580"/>
    </row>
    <row r="1530" spans="1:10" s="506" customFormat="1" ht="15" customHeight="1">
      <c r="A1530" s="512"/>
      <c r="B1530" s="514"/>
      <c r="C1530" s="5248" t="s">
        <v>577</v>
      </c>
      <c r="D1530" s="5248"/>
      <c r="E1530" s="3105">
        <f>SUM(E1531:E1545)</f>
        <v>317377</v>
      </c>
      <c r="F1530" s="3104">
        <f>SUM(F1531:F1545)</f>
        <v>442855</v>
      </c>
      <c r="G1530" s="3119">
        <f>SUM(G1531:G1545)</f>
        <v>425192.42000000004</v>
      </c>
      <c r="H1530" s="3580">
        <f t="shared" ref="H1530:H1545" si="186">G1530/F1530</f>
        <v>0.9601165618543317</v>
      </c>
      <c r="J1530" s="444"/>
    </row>
    <row r="1531" spans="1:10" s="506" customFormat="1" ht="15" customHeight="1">
      <c r="A1531" s="512"/>
      <c r="B1531" s="514"/>
      <c r="C1531" s="3619" t="s">
        <v>363</v>
      </c>
      <c r="D1531" s="3620" t="s">
        <v>578</v>
      </c>
      <c r="E1531" s="3101">
        <v>4263</v>
      </c>
      <c r="F1531" s="3100">
        <v>7390</v>
      </c>
      <c r="G1531" s="3118">
        <v>7389.77</v>
      </c>
      <c r="H1531" s="3580">
        <f t="shared" si="186"/>
        <v>0.99996887686062252</v>
      </c>
      <c r="J1531" s="444"/>
    </row>
    <row r="1532" spans="1:10" s="506" customFormat="1" ht="15" customHeight="1">
      <c r="A1532" s="512"/>
      <c r="B1532" s="514"/>
      <c r="C1532" s="3619" t="s">
        <v>313</v>
      </c>
      <c r="D1532" s="3620" t="s">
        <v>579</v>
      </c>
      <c r="E1532" s="3101">
        <v>70946</v>
      </c>
      <c r="F1532" s="3100">
        <v>142341</v>
      </c>
      <c r="G1532" s="3118">
        <v>141942.46</v>
      </c>
      <c r="H1532" s="3580">
        <f t="shared" si="186"/>
        <v>0.99720010397566405</v>
      </c>
      <c r="J1532" s="444"/>
    </row>
    <row r="1533" spans="1:10" s="506" customFormat="1" ht="15" customHeight="1">
      <c r="A1533" s="512"/>
      <c r="B1533" s="514"/>
      <c r="C1533" s="3619" t="s">
        <v>333</v>
      </c>
      <c r="D1533" s="3620" t="s">
        <v>580</v>
      </c>
      <c r="E1533" s="3101">
        <v>4500</v>
      </c>
      <c r="F1533" s="3100">
        <v>2856</v>
      </c>
      <c r="G1533" s="3118">
        <v>2855.75</v>
      </c>
      <c r="H1533" s="3580">
        <f t="shared" si="186"/>
        <v>0.9999124649859944</v>
      </c>
      <c r="J1533" s="444"/>
    </row>
    <row r="1534" spans="1:10" s="506" customFormat="1" ht="15" customHeight="1">
      <c r="A1534" s="512"/>
      <c r="B1534" s="514"/>
      <c r="C1534" s="3619" t="s">
        <v>332</v>
      </c>
      <c r="D1534" s="3620" t="s">
        <v>847</v>
      </c>
      <c r="E1534" s="3101">
        <v>5000</v>
      </c>
      <c r="F1534" s="3100">
        <v>5000</v>
      </c>
      <c r="G1534" s="3118">
        <v>4985.32</v>
      </c>
      <c r="H1534" s="3580">
        <f t="shared" si="186"/>
        <v>0.99706399999999995</v>
      </c>
      <c r="J1534" s="444"/>
    </row>
    <row r="1535" spans="1:10" s="506" customFormat="1" ht="15" customHeight="1">
      <c r="A1535" s="512"/>
      <c r="B1535" s="514"/>
      <c r="C1535" s="3619" t="s">
        <v>331</v>
      </c>
      <c r="D1535" s="3620" t="s">
        <v>581</v>
      </c>
      <c r="E1535" s="3101">
        <v>30973</v>
      </c>
      <c r="F1535" s="3100">
        <v>34666</v>
      </c>
      <c r="G1535" s="3118">
        <v>34665.75</v>
      </c>
      <c r="H1535" s="3580">
        <f t="shared" si="186"/>
        <v>0.99999278832285232</v>
      </c>
      <c r="J1535" s="444"/>
    </row>
    <row r="1536" spans="1:10" s="506" customFormat="1" ht="15" customHeight="1">
      <c r="A1536" s="512"/>
      <c r="B1536" s="514"/>
      <c r="C1536" s="3619" t="s">
        <v>330</v>
      </c>
      <c r="D1536" s="3620" t="s">
        <v>582</v>
      </c>
      <c r="E1536" s="3101">
        <v>14448</v>
      </c>
      <c r="F1536" s="3100">
        <v>11448</v>
      </c>
      <c r="G1536" s="3118">
        <v>9806.57</v>
      </c>
      <c r="H1536" s="3580">
        <f t="shared" si="186"/>
        <v>0.85661862334032146</v>
      </c>
      <c r="J1536" s="444"/>
    </row>
    <row r="1537" spans="1:10" s="506" customFormat="1" ht="15" customHeight="1">
      <c r="A1537" s="512"/>
      <c r="B1537" s="514"/>
      <c r="C1537" s="3619" t="s">
        <v>329</v>
      </c>
      <c r="D1537" s="3620" t="s">
        <v>583</v>
      </c>
      <c r="E1537" s="3101">
        <v>900</v>
      </c>
      <c r="F1537" s="3100">
        <v>1120</v>
      </c>
      <c r="G1537" s="3118">
        <v>1030.5</v>
      </c>
      <c r="H1537" s="3580">
        <f t="shared" si="186"/>
        <v>0.92008928571428572</v>
      </c>
      <c r="J1537" s="444"/>
    </row>
    <row r="1538" spans="1:10" s="506" customFormat="1" ht="15" customHeight="1">
      <c r="A1538" s="512"/>
      <c r="B1538" s="514"/>
      <c r="C1538" s="3619" t="s">
        <v>312</v>
      </c>
      <c r="D1538" s="3620" t="s">
        <v>584</v>
      </c>
      <c r="E1538" s="3101">
        <v>96752</v>
      </c>
      <c r="F1538" s="3100">
        <v>155418</v>
      </c>
      <c r="G1538" s="3118">
        <v>140706.03</v>
      </c>
      <c r="H1538" s="3580">
        <f t="shared" si="186"/>
        <v>0.90533934293325091</v>
      </c>
      <c r="J1538" s="444"/>
    </row>
    <row r="1539" spans="1:10" s="506" customFormat="1" ht="15" customHeight="1">
      <c r="A1539" s="514"/>
      <c r="B1539" s="623"/>
      <c r="C1539" s="3635" t="s">
        <v>328</v>
      </c>
      <c r="D1539" s="3636" t="s">
        <v>670</v>
      </c>
      <c r="E1539" s="3101">
        <v>5133</v>
      </c>
      <c r="F1539" s="3100">
        <v>3006</v>
      </c>
      <c r="G1539" s="3118">
        <v>3006</v>
      </c>
      <c r="H1539" s="3580">
        <f t="shared" si="186"/>
        <v>1</v>
      </c>
      <c r="J1539" s="444"/>
    </row>
    <row r="1540" spans="1:10" s="506" customFormat="1" ht="15" customHeight="1">
      <c r="A1540" s="512"/>
      <c r="B1540" s="623"/>
      <c r="C1540" s="563" t="s">
        <v>326</v>
      </c>
      <c r="D1540" s="562" t="s">
        <v>589</v>
      </c>
      <c r="E1540" s="3617">
        <v>6804</v>
      </c>
      <c r="F1540" s="3578">
        <v>6098</v>
      </c>
      <c r="G1540" s="3579">
        <v>6002.98</v>
      </c>
      <c r="H1540" s="3580">
        <f t="shared" si="186"/>
        <v>0.98441784191538206</v>
      </c>
      <c r="J1540" s="444"/>
    </row>
    <row r="1541" spans="1:10" s="506" customFormat="1" ht="15" customHeight="1">
      <c r="A1541" s="512"/>
      <c r="B1541" s="623"/>
      <c r="C1541" s="3637" t="s">
        <v>325</v>
      </c>
      <c r="D1541" s="3554" t="s">
        <v>592</v>
      </c>
      <c r="E1541" s="3101">
        <v>4363</v>
      </c>
      <c r="F1541" s="3100">
        <v>3965</v>
      </c>
      <c r="G1541" s="3118">
        <v>3965</v>
      </c>
      <c r="H1541" s="3580">
        <f t="shared" si="186"/>
        <v>1</v>
      </c>
      <c r="J1541" s="444"/>
    </row>
    <row r="1542" spans="1:10" s="506" customFormat="1" ht="15" customHeight="1">
      <c r="A1542" s="512"/>
      <c r="B1542" s="623"/>
      <c r="C1542" s="3638" t="s">
        <v>324</v>
      </c>
      <c r="D1542" s="3639" t="s">
        <v>593</v>
      </c>
      <c r="E1542" s="3101">
        <v>32427</v>
      </c>
      <c r="F1542" s="3100">
        <v>31251</v>
      </c>
      <c r="G1542" s="3118">
        <v>31000.93</v>
      </c>
      <c r="H1542" s="3580">
        <f t="shared" si="186"/>
        <v>0.99199801606348603</v>
      </c>
      <c r="J1542" s="444"/>
    </row>
    <row r="1543" spans="1:10" s="506" customFormat="1" ht="15" customHeight="1">
      <c r="A1543" s="512"/>
      <c r="B1543" s="623"/>
      <c r="C1543" s="3638" t="s">
        <v>323</v>
      </c>
      <c r="D1543" s="3639" t="s">
        <v>594</v>
      </c>
      <c r="E1543" s="3101">
        <v>5311</v>
      </c>
      <c r="F1543" s="3100">
        <v>5112</v>
      </c>
      <c r="G1543" s="3118">
        <v>5111.95</v>
      </c>
      <c r="H1543" s="3580">
        <f t="shared" si="186"/>
        <v>0.99999021909233177</v>
      </c>
      <c r="J1543" s="444"/>
    </row>
    <row r="1544" spans="1:10" s="506" customFormat="1" ht="15" customHeight="1">
      <c r="A1544" s="512"/>
      <c r="B1544" s="623"/>
      <c r="C1544" s="3640" t="s">
        <v>362</v>
      </c>
      <c r="D1544" s="3639" t="s">
        <v>936</v>
      </c>
      <c r="E1544" s="3101">
        <v>4887</v>
      </c>
      <c r="F1544" s="3100">
        <v>4236</v>
      </c>
      <c r="G1544" s="3118">
        <v>4235.8900000000003</v>
      </c>
      <c r="H1544" s="3580">
        <f t="shared" si="186"/>
        <v>0.99997403210576019</v>
      </c>
      <c r="J1544" s="444"/>
    </row>
    <row r="1545" spans="1:10" s="506" customFormat="1" ht="15" customHeight="1">
      <c r="A1545" s="512"/>
      <c r="B1545" s="623"/>
      <c r="C1545" s="3640" t="s">
        <v>322</v>
      </c>
      <c r="D1545" s="3639" t="s">
        <v>772</v>
      </c>
      <c r="E1545" s="3101">
        <v>30670</v>
      </c>
      <c r="F1545" s="3100">
        <v>28948</v>
      </c>
      <c r="G1545" s="3118">
        <v>28487.52</v>
      </c>
      <c r="H1545" s="3580">
        <f t="shared" si="186"/>
        <v>0.98409285615586573</v>
      </c>
      <c r="J1545" s="444"/>
    </row>
    <row r="1546" spans="1:10" ht="15" customHeight="1">
      <c r="A1546" s="517"/>
      <c r="B1546" s="623"/>
      <c r="C1546" s="561"/>
      <c r="D1546" s="561"/>
      <c r="E1546" s="3126"/>
      <c r="F1546" s="3126"/>
      <c r="G1546" s="3127"/>
      <c r="H1546" s="3641"/>
    </row>
    <row r="1547" spans="1:10" s="506" customFormat="1" ht="15" customHeight="1">
      <c r="A1547" s="512"/>
      <c r="B1547" s="623"/>
      <c r="C1547" s="5255" t="s">
        <v>601</v>
      </c>
      <c r="D1547" s="5255"/>
      <c r="E1547" s="3100">
        <f>SUM(E1548)</f>
        <v>7055</v>
      </c>
      <c r="F1547" s="3100">
        <f>SUM(F1548)</f>
        <v>6770</v>
      </c>
      <c r="G1547" s="3118">
        <f>SUM(G1548)</f>
        <v>6769.65</v>
      </c>
      <c r="H1547" s="3580">
        <f t="shared" ref="H1547:H1553" si="187">G1547/F1547</f>
        <v>0.99994830132939438</v>
      </c>
      <c r="J1547" s="444"/>
    </row>
    <row r="1548" spans="1:10" s="506" customFormat="1" ht="15" customHeight="1" thickBot="1">
      <c r="A1548" s="512"/>
      <c r="B1548" s="633"/>
      <c r="C1548" s="3613" t="s">
        <v>321</v>
      </c>
      <c r="D1548" s="3614" t="s">
        <v>602</v>
      </c>
      <c r="E1548" s="503">
        <v>7055</v>
      </c>
      <c r="F1548" s="503">
        <v>6770</v>
      </c>
      <c r="G1548" s="702">
        <v>6769.65</v>
      </c>
      <c r="H1548" s="701">
        <f t="shared" si="187"/>
        <v>0.99994830132939438</v>
      </c>
      <c r="J1548" s="444"/>
    </row>
    <row r="1549" spans="1:10" s="506" customFormat="1" ht="15" customHeight="1" thickBot="1">
      <c r="A1549" s="514"/>
      <c r="B1549" s="508" t="s">
        <v>361</v>
      </c>
      <c r="C1549" s="2344"/>
      <c r="D1549" s="2345" t="s">
        <v>360</v>
      </c>
      <c r="E1549" s="511">
        <f>SUM(E1550)</f>
        <v>6753187</v>
      </c>
      <c r="F1549" s="485">
        <f>SUM(F1550)</f>
        <v>6753187</v>
      </c>
      <c r="G1549" s="534">
        <f>SUM(G1550)</f>
        <v>5398559.8600000003</v>
      </c>
      <c r="H1549" s="699">
        <f t="shared" si="187"/>
        <v>0.79940920634953549</v>
      </c>
      <c r="J1549" s="444"/>
    </row>
    <row r="1550" spans="1:10" s="506" customFormat="1" ht="15" customHeight="1">
      <c r="A1550" s="512"/>
      <c r="B1550" s="572"/>
      <c r="C1550" s="5252" t="s">
        <v>567</v>
      </c>
      <c r="D1550" s="5252"/>
      <c r="E1550" s="3618">
        <f>SUM(E1551,E1555)</f>
        <v>6753187</v>
      </c>
      <c r="F1550" s="3593">
        <f>SUM(F1551,F1555)</f>
        <v>6753187</v>
      </c>
      <c r="G1550" s="3594">
        <f>SUM(G1551,G1555)</f>
        <v>5398559.8600000003</v>
      </c>
      <c r="H1550" s="3595">
        <f t="shared" si="187"/>
        <v>0.79940920634953549</v>
      </c>
      <c r="J1550" s="444" t="s">
        <v>701</v>
      </c>
    </row>
    <row r="1551" spans="1:10" s="506" customFormat="1" ht="15" customHeight="1">
      <c r="A1551" s="512"/>
      <c r="B1551" s="572"/>
      <c r="C1551" s="5247" t="s">
        <v>568</v>
      </c>
      <c r="D1551" s="5247"/>
      <c r="E1551" s="3100">
        <f t="shared" ref="E1551:G1552" si="188">SUM(E1552)</f>
        <v>1232</v>
      </c>
      <c r="F1551" s="3100">
        <f t="shared" si="188"/>
        <v>1232</v>
      </c>
      <c r="G1551" s="3118">
        <f t="shared" si="188"/>
        <v>1232</v>
      </c>
      <c r="H1551" s="3580">
        <f t="shared" si="187"/>
        <v>1</v>
      </c>
      <c r="J1551" s="444"/>
    </row>
    <row r="1552" spans="1:10" s="506" customFormat="1" ht="15" customHeight="1">
      <c r="A1552" s="512"/>
      <c r="B1552" s="572"/>
      <c r="C1552" s="5248" t="s">
        <v>577</v>
      </c>
      <c r="D1552" s="5248"/>
      <c r="E1552" s="3104">
        <f t="shared" si="188"/>
        <v>1232</v>
      </c>
      <c r="F1552" s="3104">
        <f t="shared" si="188"/>
        <v>1232</v>
      </c>
      <c r="G1552" s="3119">
        <f t="shared" si="188"/>
        <v>1232</v>
      </c>
      <c r="H1552" s="3580">
        <f t="shared" si="187"/>
        <v>1</v>
      </c>
      <c r="J1552" s="444"/>
    </row>
    <row r="1553" spans="1:10" s="506" customFormat="1" ht="15" customHeight="1">
      <c r="A1553" s="512"/>
      <c r="B1553" s="572"/>
      <c r="C1553" s="3642" t="s">
        <v>313</v>
      </c>
      <c r="D1553" s="3620" t="s">
        <v>579</v>
      </c>
      <c r="E1553" s="3100">
        <v>1232</v>
      </c>
      <c r="F1553" s="3100">
        <v>1232</v>
      </c>
      <c r="G1553" s="3118">
        <v>1232</v>
      </c>
      <c r="H1553" s="3580">
        <f t="shared" si="187"/>
        <v>1</v>
      </c>
      <c r="J1553" s="444"/>
    </row>
    <row r="1554" spans="1:10" s="506" customFormat="1" ht="15" customHeight="1" thickBot="1">
      <c r="A1554" s="593"/>
      <c r="B1554" s="3378"/>
      <c r="C1554" s="5292"/>
      <c r="D1554" s="5345"/>
      <c r="E1554" s="567"/>
      <c r="F1554" s="2618"/>
      <c r="G1554" s="2619"/>
      <c r="H1554" s="2620"/>
      <c r="J1554" s="444"/>
    </row>
    <row r="1555" spans="1:10" s="506" customFormat="1" ht="15" customHeight="1">
      <c r="A1555" s="3303"/>
      <c r="B1555" s="3373"/>
      <c r="C1555" s="5346" t="s">
        <v>640</v>
      </c>
      <c r="D1555" s="5347"/>
      <c r="E1555" s="2826">
        <f>SUM(E1556)</f>
        <v>6751955</v>
      </c>
      <c r="F1555" s="2292">
        <f>SUM(F1556)</f>
        <v>6751955</v>
      </c>
      <c r="G1555" s="2435">
        <f>SUM(G1556)</f>
        <v>5397327.8600000003</v>
      </c>
      <c r="H1555" s="2063">
        <f t="shared" ref="H1555:H1572" si="189">G1555/F1555</f>
        <v>0.79937260541576483</v>
      </c>
      <c r="J1555" s="444"/>
    </row>
    <row r="1556" spans="1:10" s="506" customFormat="1" ht="51.75" thickBot="1">
      <c r="A1556" s="593"/>
      <c r="B1556" s="3378"/>
      <c r="C1556" s="3305" t="s">
        <v>91</v>
      </c>
      <c r="D1556" s="3306" t="s">
        <v>649</v>
      </c>
      <c r="E1556" s="567">
        <v>6751955</v>
      </c>
      <c r="F1556" s="503">
        <v>6751955</v>
      </c>
      <c r="G1556" s="702">
        <v>5397327.8600000003</v>
      </c>
      <c r="H1556" s="2245">
        <f t="shared" si="189"/>
        <v>0.79937260541576483</v>
      </c>
      <c r="J1556" s="444"/>
    </row>
    <row r="1557" spans="1:10" s="444" customFormat="1" ht="15" customHeight="1" thickBot="1">
      <c r="A1557" s="634" t="s">
        <v>359</v>
      </c>
      <c r="B1557" s="635"/>
      <c r="C1557" s="636"/>
      <c r="D1557" s="637" t="s">
        <v>937</v>
      </c>
      <c r="E1557" s="638">
        <f>SUM(E1558,E1576,E1582,E1601,E1605,E1616,E1627,E1637,E1647)</f>
        <v>1628916</v>
      </c>
      <c r="F1557" s="638">
        <f>SUM(F1558,F1576,F1582,F1601,F1605,F1616,F1627,F1637,F1647)</f>
        <v>3086618</v>
      </c>
      <c r="G1557" s="1305">
        <f>SUM(G1558,G1576,G1582,G1601,G1605,G1616,G1627,G1637,G1647)</f>
        <v>2814540.4699999997</v>
      </c>
      <c r="H1557" s="1112">
        <f t="shared" si="189"/>
        <v>0.91185254216751144</v>
      </c>
    </row>
    <row r="1558" spans="1:10" s="444" customFormat="1" ht="15" customHeight="1" thickBot="1">
      <c r="A1558" s="3643"/>
      <c r="B1558" s="484" t="s">
        <v>358</v>
      </c>
      <c r="C1558" s="2049"/>
      <c r="D1558" s="2050" t="s">
        <v>255</v>
      </c>
      <c r="E1558" s="485">
        <f>SUM(E1559)</f>
        <v>640216</v>
      </c>
      <c r="F1558" s="485">
        <f>SUM(F1559)</f>
        <v>1202816</v>
      </c>
      <c r="G1558" s="534">
        <f>SUM(G1559)</f>
        <v>1182094.69</v>
      </c>
      <c r="H1558" s="699">
        <f t="shared" si="189"/>
        <v>0.98277266847132061</v>
      </c>
    </row>
    <row r="1559" spans="1:10" s="444" customFormat="1" ht="15" customHeight="1">
      <c r="A1559" s="477"/>
      <c r="B1559" s="5333"/>
      <c r="C1559" s="5249" t="s">
        <v>567</v>
      </c>
      <c r="D1559" s="5249"/>
      <c r="E1559" s="486">
        <f>SUM(E1560,E1574)</f>
        <v>640216</v>
      </c>
      <c r="F1559" s="486">
        <f>SUM(F1560,F1574)</f>
        <v>1202816</v>
      </c>
      <c r="G1559" s="605">
        <f>SUM(G1560,G1574)</f>
        <v>1182094.69</v>
      </c>
      <c r="H1559" s="3595">
        <f t="shared" si="189"/>
        <v>0.98277266847132061</v>
      </c>
      <c r="J1559" s="444" t="s">
        <v>938</v>
      </c>
    </row>
    <row r="1560" spans="1:10" s="444" customFormat="1" ht="15" customHeight="1">
      <c r="A1560" s="477"/>
      <c r="B1560" s="4823"/>
      <c r="C1560" s="5257" t="s">
        <v>568</v>
      </c>
      <c r="D1560" s="5257"/>
      <c r="E1560" s="3100">
        <f>SUM(E1561,E1568)</f>
        <v>633216</v>
      </c>
      <c r="F1560" s="3100">
        <f t="shared" ref="F1560:G1560" si="190">SUM(F1561,F1568)</f>
        <v>1195816</v>
      </c>
      <c r="G1560" s="3118">
        <f t="shared" si="190"/>
        <v>1175094.69</v>
      </c>
      <c r="H1560" s="3580">
        <f t="shared" si="189"/>
        <v>0.98267182409333875</v>
      </c>
    </row>
    <row r="1561" spans="1:10" s="506" customFormat="1" ht="15" customHeight="1">
      <c r="A1561" s="512"/>
      <c r="B1561" s="4823"/>
      <c r="C1561" s="5258" t="s">
        <v>569</v>
      </c>
      <c r="D1561" s="5258"/>
      <c r="E1561" s="3104">
        <f>SUM(E1562:E1566)</f>
        <v>0</v>
      </c>
      <c r="F1561" s="3104">
        <f>SUM(F1562:F1566)</f>
        <v>296056</v>
      </c>
      <c r="G1561" s="3119">
        <f>SUM(G1562:G1566)</f>
        <v>296055.29000000004</v>
      </c>
      <c r="H1561" s="3580">
        <f t="shared" si="189"/>
        <v>0.99999760180506403</v>
      </c>
      <c r="J1561" s="444"/>
    </row>
    <row r="1562" spans="1:10" s="506" customFormat="1" ht="15" customHeight="1">
      <c r="A1562" s="512"/>
      <c r="B1562" s="4823"/>
      <c r="C1562" s="3619" t="s">
        <v>337</v>
      </c>
      <c r="D1562" s="3620" t="s">
        <v>571</v>
      </c>
      <c r="E1562" s="3101">
        <v>0</v>
      </c>
      <c r="F1562" s="3100">
        <v>141077</v>
      </c>
      <c r="G1562" s="3118">
        <v>141077</v>
      </c>
      <c r="H1562" s="3580">
        <f t="shared" si="189"/>
        <v>1</v>
      </c>
      <c r="J1562" s="444"/>
    </row>
    <row r="1563" spans="1:10" s="506" customFormat="1" ht="15" customHeight="1">
      <c r="A1563" s="512"/>
      <c r="B1563" s="4823"/>
      <c r="C1563" s="3619" t="s">
        <v>336</v>
      </c>
      <c r="D1563" s="3620" t="s">
        <v>572</v>
      </c>
      <c r="E1563" s="3101">
        <v>0</v>
      </c>
      <c r="F1563" s="3100">
        <v>2998</v>
      </c>
      <c r="G1563" s="3118">
        <v>2998</v>
      </c>
      <c r="H1563" s="3580">
        <f t="shared" si="189"/>
        <v>1</v>
      </c>
      <c r="J1563" s="444"/>
    </row>
    <row r="1564" spans="1:10" s="506" customFormat="1" ht="15" customHeight="1">
      <c r="A1564" s="512"/>
      <c r="B1564" s="4823"/>
      <c r="C1564" s="3619" t="s">
        <v>315</v>
      </c>
      <c r="D1564" s="3620" t="s">
        <v>573</v>
      </c>
      <c r="E1564" s="3101">
        <v>0</v>
      </c>
      <c r="F1564" s="3100">
        <v>24153</v>
      </c>
      <c r="G1564" s="3118">
        <v>24153</v>
      </c>
      <c r="H1564" s="3580">
        <f t="shared" si="189"/>
        <v>1</v>
      </c>
      <c r="J1564" s="444"/>
    </row>
    <row r="1565" spans="1:10" s="506" customFormat="1" ht="15" customHeight="1">
      <c r="A1565" s="512"/>
      <c r="B1565" s="4823"/>
      <c r="C1565" s="3619" t="s">
        <v>314</v>
      </c>
      <c r="D1565" s="3620" t="s">
        <v>574</v>
      </c>
      <c r="E1565" s="3101">
        <v>0</v>
      </c>
      <c r="F1565" s="3100">
        <v>2828</v>
      </c>
      <c r="G1565" s="3118">
        <v>2827.29</v>
      </c>
      <c r="H1565" s="3580">
        <f t="shared" si="189"/>
        <v>0.99974893917963226</v>
      </c>
      <c r="J1565" s="444"/>
    </row>
    <row r="1566" spans="1:10" ht="15" customHeight="1">
      <c r="A1566" s="517"/>
      <c r="B1566" s="4823"/>
      <c r="C1566" s="3632" t="s">
        <v>319</v>
      </c>
      <c r="D1566" s="3633" t="s">
        <v>575</v>
      </c>
      <c r="E1566" s="3100">
        <v>0</v>
      </c>
      <c r="F1566" s="3100">
        <v>125000</v>
      </c>
      <c r="G1566" s="3118">
        <v>125000</v>
      </c>
      <c r="H1566" s="3580">
        <f t="shared" si="189"/>
        <v>1</v>
      </c>
    </row>
    <row r="1567" spans="1:10" ht="15" customHeight="1">
      <c r="A1567" s="517"/>
      <c r="B1567" s="4823"/>
      <c r="C1567" s="3645"/>
      <c r="D1567" s="640"/>
      <c r="E1567" s="3646"/>
      <c r="F1567" s="3647"/>
      <c r="G1567" s="3648"/>
      <c r="H1567" s="3641"/>
    </row>
    <row r="1568" spans="1:10" s="444" customFormat="1" ht="15" customHeight="1">
      <c r="A1568" s="477"/>
      <c r="B1568" s="4823"/>
      <c r="C1568" s="5259" t="s">
        <v>577</v>
      </c>
      <c r="D1568" s="5259"/>
      <c r="E1568" s="3104">
        <f>SUM(E1569:E1572)</f>
        <v>633216</v>
      </c>
      <c r="F1568" s="3104">
        <f>SUM(F1569:F1572)</f>
        <v>899760</v>
      </c>
      <c r="G1568" s="3119">
        <f>SUM(G1569:G1572)</f>
        <v>879039.4</v>
      </c>
      <c r="H1568" s="3580">
        <f t="shared" si="189"/>
        <v>0.97697097003645417</v>
      </c>
    </row>
    <row r="1569" spans="1:10" s="444" customFormat="1" ht="15" customHeight="1">
      <c r="A1569" s="477"/>
      <c r="B1569" s="4823"/>
      <c r="C1569" s="3649" t="s">
        <v>313</v>
      </c>
      <c r="D1569" s="3610" t="s">
        <v>579</v>
      </c>
      <c r="E1569" s="3100">
        <v>15000</v>
      </c>
      <c r="F1569" s="3100">
        <v>11253</v>
      </c>
      <c r="G1569" s="3118">
        <v>11253</v>
      </c>
      <c r="H1569" s="3580">
        <f t="shared" si="189"/>
        <v>1</v>
      </c>
    </row>
    <row r="1570" spans="1:10" s="444" customFormat="1" ht="15" customHeight="1">
      <c r="A1570" s="477"/>
      <c r="B1570" s="4823"/>
      <c r="C1570" s="3624" t="s">
        <v>312</v>
      </c>
      <c r="D1570" s="3623" t="s">
        <v>584</v>
      </c>
      <c r="E1570" s="3100">
        <f>169216+430000</f>
        <v>599216</v>
      </c>
      <c r="F1570" s="3100">
        <v>834507</v>
      </c>
      <c r="G1570" s="3118">
        <v>824286.4</v>
      </c>
      <c r="H1570" s="3580">
        <f t="shared" si="189"/>
        <v>0.98775252933768087</v>
      </c>
    </row>
    <row r="1571" spans="1:10" s="444" customFormat="1" ht="15" customHeight="1">
      <c r="A1571" s="477"/>
      <c r="B1571" s="4823"/>
      <c r="C1571" s="3649" t="s">
        <v>683</v>
      </c>
      <c r="D1571" s="3620" t="s">
        <v>684</v>
      </c>
      <c r="E1571" s="3650">
        <v>0</v>
      </c>
      <c r="F1571" s="3650">
        <v>10000</v>
      </c>
      <c r="G1571" s="3651">
        <v>0</v>
      </c>
      <c r="H1571" s="3580">
        <f t="shared" si="189"/>
        <v>0</v>
      </c>
    </row>
    <row r="1572" spans="1:10" s="444" customFormat="1" ht="15" customHeight="1">
      <c r="A1572" s="479"/>
      <c r="B1572" s="4823"/>
      <c r="C1572" s="3652" t="s">
        <v>327</v>
      </c>
      <c r="D1572" s="3653" t="s">
        <v>586</v>
      </c>
      <c r="E1572" s="3654">
        <v>19000</v>
      </c>
      <c r="F1572" s="3654">
        <v>44000</v>
      </c>
      <c r="G1572" s="3655">
        <v>43500</v>
      </c>
      <c r="H1572" s="3580">
        <f t="shared" si="189"/>
        <v>0.98863636363636365</v>
      </c>
    </row>
    <row r="1573" spans="1:10" s="444" customFormat="1" ht="15" customHeight="1">
      <c r="A1573" s="477"/>
      <c r="B1573" s="4823"/>
      <c r="C1573" s="3656"/>
      <c r="D1573" s="3657"/>
      <c r="E1573" s="3100"/>
      <c r="F1573" s="3126"/>
      <c r="G1573" s="3127"/>
      <c r="H1573" s="3641"/>
    </row>
    <row r="1574" spans="1:10" s="444" customFormat="1" ht="15" customHeight="1">
      <c r="A1574" s="477"/>
      <c r="B1574" s="4823"/>
      <c r="C1574" s="5118" t="s">
        <v>640</v>
      </c>
      <c r="D1574" s="5118"/>
      <c r="E1574" s="481">
        <f>SUM(E1575)</f>
        <v>7000</v>
      </c>
      <c r="F1574" s="481">
        <f>SUM(F1575)</f>
        <v>7000</v>
      </c>
      <c r="G1574" s="604">
        <f>SUM(G1575)</f>
        <v>7000</v>
      </c>
      <c r="H1574" s="3580">
        <f t="shared" ref="H1574:H1611" si="191">G1574/F1574</f>
        <v>1</v>
      </c>
    </row>
    <row r="1575" spans="1:10" s="444" customFormat="1" ht="51.75" thickBot="1">
      <c r="A1575" s="477"/>
      <c r="B1575" s="4840"/>
      <c r="C1575" s="3658" t="s">
        <v>91</v>
      </c>
      <c r="D1575" s="3659" t="s">
        <v>649</v>
      </c>
      <c r="E1575" s="3100">
        <v>7000</v>
      </c>
      <c r="F1575" s="3100">
        <v>7000</v>
      </c>
      <c r="G1575" s="3118">
        <v>7000</v>
      </c>
      <c r="H1575" s="701">
        <f t="shared" si="191"/>
        <v>1</v>
      </c>
    </row>
    <row r="1576" spans="1:10" s="444" customFormat="1" ht="15" customHeight="1" thickBot="1">
      <c r="A1576" s="639"/>
      <c r="B1576" s="484" t="s">
        <v>939</v>
      </c>
      <c r="C1576" s="2049"/>
      <c r="D1576" s="2050" t="s">
        <v>357</v>
      </c>
      <c r="E1576" s="485">
        <f t="shared" ref="E1576:G1578" si="192">SUM(E1577)</f>
        <v>220000</v>
      </c>
      <c r="F1576" s="485">
        <f t="shared" si="192"/>
        <v>311106</v>
      </c>
      <c r="G1576" s="534">
        <f t="shared" si="192"/>
        <v>188185</v>
      </c>
      <c r="H1576" s="699">
        <f t="shared" si="191"/>
        <v>0.60489029462626887</v>
      </c>
    </row>
    <row r="1577" spans="1:10" s="444" customFormat="1" ht="15" customHeight="1">
      <c r="A1577" s="477"/>
      <c r="B1577" s="5333"/>
      <c r="C1577" s="5249" t="s">
        <v>567</v>
      </c>
      <c r="D1577" s="5249"/>
      <c r="E1577" s="529">
        <f t="shared" si="192"/>
        <v>220000</v>
      </c>
      <c r="F1577" s="529">
        <f t="shared" si="192"/>
        <v>311106</v>
      </c>
      <c r="G1577" s="700">
        <f t="shared" si="192"/>
        <v>188185</v>
      </c>
      <c r="H1577" s="3595">
        <f t="shared" si="191"/>
        <v>0.60489029462626887</v>
      </c>
      <c r="J1577" s="444" t="s">
        <v>938</v>
      </c>
    </row>
    <row r="1578" spans="1:10" s="444" customFormat="1" ht="15" customHeight="1">
      <c r="A1578" s="477"/>
      <c r="B1578" s="4823"/>
      <c r="C1578" s="5257" t="s">
        <v>568</v>
      </c>
      <c r="D1578" s="5257"/>
      <c r="E1578" s="3650">
        <f t="shared" si="192"/>
        <v>220000</v>
      </c>
      <c r="F1578" s="3650">
        <f t="shared" si="192"/>
        <v>311106</v>
      </c>
      <c r="G1578" s="3651">
        <f t="shared" si="192"/>
        <v>188185</v>
      </c>
      <c r="H1578" s="3580">
        <f t="shared" si="191"/>
        <v>0.60489029462626887</v>
      </c>
    </row>
    <row r="1579" spans="1:10" s="444" customFormat="1" ht="15" customHeight="1">
      <c r="A1579" s="477"/>
      <c r="B1579" s="4823"/>
      <c r="C1579" s="5259" t="s">
        <v>577</v>
      </c>
      <c r="D1579" s="5259"/>
      <c r="E1579" s="3660">
        <f>SUM(E1580:E1581)</f>
        <v>220000</v>
      </c>
      <c r="F1579" s="3660">
        <f t="shared" ref="F1579:G1579" si="193">SUM(F1580:F1581)</f>
        <v>311106</v>
      </c>
      <c r="G1579" s="3661">
        <f t="shared" si="193"/>
        <v>188185</v>
      </c>
      <c r="H1579" s="3580">
        <f t="shared" si="191"/>
        <v>0.60489029462626887</v>
      </c>
    </row>
    <row r="1580" spans="1:10" s="444" customFormat="1" ht="15" customHeight="1">
      <c r="A1580" s="477"/>
      <c r="B1580" s="4823"/>
      <c r="C1580" s="3649" t="s">
        <v>312</v>
      </c>
      <c r="D1580" s="3610" t="s">
        <v>584</v>
      </c>
      <c r="E1580" s="3100">
        <v>0</v>
      </c>
      <c r="F1580" s="3100">
        <v>151900</v>
      </c>
      <c r="G1580" s="3118">
        <v>151900</v>
      </c>
      <c r="H1580" s="3580">
        <f t="shared" si="191"/>
        <v>1</v>
      </c>
    </row>
    <row r="1581" spans="1:10" s="444" customFormat="1" ht="15" customHeight="1" thickBot="1">
      <c r="A1581" s="502"/>
      <c r="B1581" s="4840"/>
      <c r="C1581" s="3662" t="s">
        <v>327</v>
      </c>
      <c r="D1581" s="642" t="s">
        <v>586</v>
      </c>
      <c r="E1581" s="503">
        <v>220000</v>
      </c>
      <c r="F1581" s="503">
        <v>159206</v>
      </c>
      <c r="G1581" s="702">
        <v>36285</v>
      </c>
      <c r="H1581" s="2245">
        <f t="shared" si="191"/>
        <v>0.22791226461314273</v>
      </c>
    </row>
    <row r="1582" spans="1:10" s="444" customFormat="1" ht="15" customHeight="1" thickBot="1">
      <c r="A1582" s="3643"/>
      <c r="B1582" s="3673" t="s">
        <v>940</v>
      </c>
      <c r="C1582" s="3674"/>
      <c r="D1582" s="3675" t="s">
        <v>941</v>
      </c>
      <c r="E1582" s="3676">
        <f t="shared" ref="E1582:G1583" si="194">SUM(E1583)</f>
        <v>0</v>
      </c>
      <c r="F1582" s="3676">
        <f t="shared" si="194"/>
        <v>217662</v>
      </c>
      <c r="G1582" s="3677">
        <f t="shared" si="194"/>
        <v>182138.72000000003</v>
      </c>
      <c r="H1582" s="3670">
        <f t="shared" si="191"/>
        <v>0.83679613345462245</v>
      </c>
    </row>
    <row r="1583" spans="1:10" s="444" customFormat="1" ht="15" customHeight="1">
      <c r="A1583" s="477"/>
      <c r="B1583" s="495"/>
      <c r="C1583" s="5249" t="s">
        <v>567</v>
      </c>
      <c r="D1583" s="5249"/>
      <c r="E1583" s="2565">
        <f>SUM(E1584)</f>
        <v>0</v>
      </c>
      <c r="F1583" s="2565">
        <f t="shared" si="194"/>
        <v>217662</v>
      </c>
      <c r="G1583" s="2566">
        <f t="shared" si="194"/>
        <v>182138.72000000003</v>
      </c>
      <c r="H1583" s="3595">
        <f t="shared" si="191"/>
        <v>0.83679613345462245</v>
      </c>
      <c r="J1583" s="444" t="s">
        <v>938</v>
      </c>
    </row>
    <row r="1584" spans="1:10" s="506" customFormat="1" ht="15" customHeight="1">
      <c r="A1584" s="512"/>
      <c r="B1584" s="514"/>
      <c r="C1584" s="5225" t="s">
        <v>608</v>
      </c>
      <c r="D1584" s="5344"/>
      <c r="E1584" s="582">
        <f>SUM(E1585:E1600)</f>
        <v>0</v>
      </c>
      <c r="F1584" s="585">
        <f>SUM(F1585:F1600)</f>
        <v>217662</v>
      </c>
      <c r="G1584" s="1306">
        <f>SUM(G1585:G1600)</f>
        <v>182138.72000000003</v>
      </c>
      <c r="H1584" s="3580">
        <f t="shared" si="191"/>
        <v>0.83679613345462245</v>
      </c>
      <c r="J1584" s="444" t="s">
        <v>926</v>
      </c>
    </row>
    <row r="1585" spans="1:10" s="506" customFormat="1" ht="15" customHeight="1">
      <c r="A1585" s="512"/>
      <c r="B1585" s="514"/>
      <c r="C1585" s="3546" t="s">
        <v>613</v>
      </c>
      <c r="D1585" s="3663" t="s">
        <v>571</v>
      </c>
      <c r="E1585" s="3664">
        <v>0</v>
      </c>
      <c r="F1585" s="3664">
        <v>93141</v>
      </c>
      <c r="G1585" s="3665">
        <v>92786.35</v>
      </c>
      <c r="H1585" s="3580">
        <f t="shared" si="191"/>
        <v>0.99619233205570057</v>
      </c>
      <c r="J1585" s="444"/>
    </row>
    <row r="1586" spans="1:10" s="506" customFormat="1" ht="15" customHeight="1">
      <c r="A1586" s="512"/>
      <c r="B1586" s="514"/>
      <c r="C1586" s="3615" t="s">
        <v>614</v>
      </c>
      <c r="D1586" s="3616" t="s">
        <v>571</v>
      </c>
      <c r="E1586" s="630">
        <v>0</v>
      </c>
      <c r="F1586" s="630">
        <v>23286</v>
      </c>
      <c r="G1586" s="1307">
        <v>23196.61</v>
      </c>
      <c r="H1586" s="3580">
        <f t="shared" si="191"/>
        <v>0.9961612127458559</v>
      </c>
      <c r="J1586" s="444"/>
    </row>
    <row r="1587" spans="1:10" s="506" customFormat="1" ht="15" customHeight="1">
      <c r="A1587" s="512"/>
      <c r="B1587" s="514"/>
      <c r="C1587" s="3619" t="s">
        <v>617</v>
      </c>
      <c r="D1587" s="3620" t="s">
        <v>573</v>
      </c>
      <c r="E1587" s="3664">
        <v>0</v>
      </c>
      <c r="F1587" s="3664">
        <v>15931</v>
      </c>
      <c r="G1587" s="3665">
        <v>15844.14</v>
      </c>
      <c r="H1587" s="3580">
        <f t="shared" si="191"/>
        <v>0.99454773711631406</v>
      </c>
      <c r="J1587" s="444"/>
    </row>
    <row r="1588" spans="1:10" s="506" customFormat="1" ht="15" customHeight="1">
      <c r="A1588" s="512"/>
      <c r="B1588" s="514"/>
      <c r="C1588" s="3619" t="s">
        <v>618</v>
      </c>
      <c r="D1588" s="3620" t="s">
        <v>573</v>
      </c>
      <c r="E1588" s="3664">
        <v>0</v>
      </c>
      <c r="F1588" s="3664">
        <v>3996</v>
      </c>
      <c r="G1588" s="3665">
        <v>3961.02</v>
      </c>
      <c r="H1588" s="3580">
        <f t="shared" si="191"/>
        <v>0.99124624624624624</v>
      </c>
      <c r="J1588" s="444"/>
    </row>
    <row r="1589" spans="1:10" s="506" customFormat="1" ht="15" customHeight="1">
      <c r="A1589" s="512"/>
      <c r="B1589" s="514"/>
      <c r="C1589" s="3619" t="s">
        <v>619</v>
      </c>
      <c r="D1589" s="3620" t="s">
        <v>574</v>
      </c>
      <c r="E1589" s="3664">
        <v>0</v>
      </c>
      <c r="F1589" s="3664">
        <v>1992</v>
      </c>
      <c r="G1589" s="3665">
        <v>1445.45</v>
      </c>
      <c r="H1589" s="3580">
        <f t="shared" si="191"/>
        <v>0.72562751004016068</v>
      </c>
      <c r="J1589" s="444"/>
    </row>
    <row r="1590" spans="1:10" s="506" customFormat="1" ht="15" customHeight="1">
      <c r="A1590" s="512"/>
      <c r="B1590" s="514"/>
      <c r="C1590" s="3619" t="s">
        <v>620</v>
      </c>
      <c r="D1590" s="3620" t="s">
        <v>574</v>
      </c>
      <c r="E1590" s="3664">
        <v>0</v>
      </c>
      <c r="F1590" s="3664">
        <v>485</v>
      </c>
      <c r="G1590" s="3665">
        <v>360.91</v>
      </c>
      <c r="H1590" s="3580">
        <f t="shared" si="191"/>
        <v>0.74414432989690726</v>
      </c>
      <c r="J1590" s="444"/>
    </row>
    <row r="1591" spans="1:10" s="506" customFormat="1" ht="15" customHeight="1">
      <c r="A1591" s="512"/>
      <c r="B1591" s="514"/>
      <c r="C1591" s="3619" t="s">
        <v>626</v>
      </c>
      <c r="D1591" s="3620" t="s">
        <v>579</v>
      </c>
      <c r="E1591" s="3664">
        <v>0</v>
      </c>
      <c r="F1591" s="3664">
        <v>15905</v>
      </c>
      <c r="G1591" s="3665">
        <v>4269.66</v>
      </c>
      <c r="H1591" s="3580">
        <f t="shared" si="191"/>
        <v>0.26844765796919207</v>
      </c>
      <c r="J1591" s="444"/>
    </row>
    <row r="1592" spans="1:10" s="506" customFormat="1" ht="15" customHeight="1">
      <c r="A1592" s="512"/>
      <c r="B1592" s="514"/>
      <c r="C1592" s="3619" t="s">
        <v>627</v>
      </c>
      <c r="D1592" s="3620" t="s">
        <v>579</v>
      </c>
      <c r="E1592" s="3664">
        <v>0</v>
      </c>
      <c r="F1592" s="3664">
        <v>3974</v>
      </c>
      <c r="G1592" s="3665">
        <v>1067.4100000000001</v>
      </c>
      <c r="H1592" s="3580">
        <f t="shared" si="191"/>
        <v>0.26859838953195775</v>
      </c>
      <c r="J1592" s="444"/>
    </row>
    <row r="1593" spans="1:10" s="506" customFormat="1" ht="15" customHeight="1">
      <c r="A1593" s="514"/>
      <c r="B1593" s="514"/>
      <c r="C1593" s="3615" t="s">
        <v>630</v>
      </c>
      <c r="D1593" s="3616" t="s">
        <v>584</v>
      </c>
      <c r="E1593" s="3664">
        <v>0</v>
      </c>
      <c r="F1593" s="3664">
        <v>24528</v>
      </c>
      <c r="G1593" s="3665">
        <v>12398.93</v>
      </c>
      <c r="H1593" s="3580">
        <f t="shared" si="191"/>
        <v>0.50550106001304629</v>
      </c>
      <c r="J1593" s="444"/>
    </row>
    <row r="1594" spans="1:10" s="506" customFormat="1" ht="15" customHeight="1">
      <c r="A1594" s="512"/>
      <c r="B1594" s="514"/>
      <c r="C1594" s="3619" t="s">
        <v>631</v>
      </c>
      <c r="D1594" s="3620" t="s">
        <v>584</v>
      </c>
      <c r="E1594" s="3664">
        <v>0</v>
      </c>
      <c r="F1594" s="3664">
        <v>6132</v>
      </c>
      <c r="G1594" s="3665">
        <v>3099.77</v>
      </c>
      <c r="H1594" s="3580">
        <f t="shared" si="191"/>
        <v>0.50550717547292889</v>
      </c>
      <c r="J1594" s="444"/>
    </row>
    <row r="1595" spans="1:10" s="506" customFormat="1" ht="15" customHeight="1">
      <c r="A1595" s="512"/>
      <c r="B1595" s="514"/>
      <c r="C1595" s="3619" t="s">
        <v>759</v>
      </c>
      <c r="D1595" s="3666" t="s">
        <v>586</v>
      </c>
      <c r="E1595" s="3664">
        <v>0</v>
      </c>
      <c r="F1595" s="3664">
        <v>1760</v>
      </c>
      <c r="G1595" s="3665">
        <v>1760</v>
      </c>
      <c r="H1595" s="3580">
        <f t="shared" si="191"/>
        <v>1</v>
      </c>
      <c r="J1595" s="444"/>
    </row>
    <row r="1596" spans="1:10" s="506" customFormat="1" ht="15" customHeight="1">
      <c r="A1596" s="512"/>
      <c r="B1596" s="514"/>
      <c r="C1596" s="3619" t="s">
        <v>761</v>
      </c>
      <c r="D1596" s="3667" t="s">
        <v>586</v>
      </c>
      <c r="E1596" s="3510">
        <v>0</v>
      </c>
      <c r="F1596" s="3510">
        <v>440</v>
      </c>
      <c r="G1596" s="3511">
        <v>440</v>
      </c>
      <c r="H1596" s="3580">
        <f t="shared" si="191"/>
        <v>1</v>
      </c>
      <c r="J1596" s="444"/>
    </row>
    <row r="1597" spans="1:10" s="506" customFormat="1" ht="15" customHeight="1">
      <c r="A1597" s="512"/>
      <c r="B1597" s="514"/>
      <c r="C1597" s="3619" t="s">
        <v>658</v>
      </c>
      <c r="D1597" s="3623" t="s">
        <v>591</v>
      </c>
      <c r="E1597" s="3664">
        <v>0</v>
      </c>
      <c r="F1597" s="3664">
        <v>20073</v>
      </c>
      <c r="G1597" s="3665">
        <v>16693.64</v>
      </c>
      <c r="H1597" s="3580">
        <f t="shared" si="191"/>
        <v>0.83164649031036708</v>
      </c>
      <c r="J1597" s="444"/>
    </row>
    <row r="1598" spans="1:10" s="506" customFormat="1" ht="15" customHeight="1">
      <c r="A1598" s="512"/>
      <c r="B1598" s="514"/>
      <c r="C1598" s="3619" t="s">
        <v>659</v>
      </c>
      <c r="D1598" s="3623" t="s">
        <v>591</v>
      </c>
      <c r="E1598" s="3664">
        <v>0</v>
      </c>
      <c r="F1598" s="3664">
        <v>5019</v>
      </c>
      <c r="G1598" s="3665">
        <v>4173.42</v>
      </c>
      <c r="H1598" s="3580">
        <f t="shared" si="191"/>
        <v>0.83152420800956373</v>
      </c>
      <c r="J1598" s="444"/>
    </row>
    <row r="1599" spans="1:10" s="506" customFormat="1" ht="15" customHeight="1">
      <c r="A1599" s="512"/>
      <c r="B1599" s="512"/>
      <c r="C1599" s="3668" t="s">
        <v>638</v>
      </c>
      <c r="D1599" s="3535" t="s">
        <v>576</v>
      </c>
      <c r="E1599" s="3664">
        <v>0</v>
      </c>
      <c r="F1599" s="3664">
        <v>800</v>
      </c>
      <c r="G1599" s="3665">
        <v>513.15</v>
      </c>
      <c r="H1599" s="3580">
        <f t="shared" si="191"/>
        <v>0.64143749999999999</v>
      </c>
      <c r="J1599" s="444"/>
    </row>
    <row r="1600" spans="1:10" s="506" customFormat="1" ht="15" customHeight="1" thickBot="1">
      <c r="A1600" s="512"/>
      <c r="B1600" s="512"/>
      <c r="C1600" s="3668" t="s">
        <v>639</v>
      </c>
      <c r="D1600" s="3535" t="s">
        <v>576</v>
      </c>
      <c r="E1600" s="3664">
        <v>0</v>
      </c>
      <c r="F1600" s="3664">
        <v>200</v>
      </c>
      <c r="G1600" s="3665">
        <v>128.26</v>
      </c>
      <c r="H1600" s="3580">
        <f t="shared" si="191"/>
        <v>0.64129999999999998</v>
      </c>
      <c r="J1600" s="444"/>
    </row>
    <row r="1601" spans="1:10" s="444" customFormat="1" ht="18.75" customHeight="1" thickBot="1">
      <c r="A1601" s="479"/>
      <c r="B1601" s="3673" t="s">
        <v>942</v>
      </c>
      <c r="C1601" s="3674"/>
      <c r="D1601" s="3675" t="s">
        <v>1077</v>
      </c>
      <c r="E1601" s="3678">
        <f t="shared" ref="E1601:G1603" si="195">SUM(E1602)</f>
        <v>0</v>
      </c>
      <c r="F1601" s="3676">
        <f t="shared" si="195"/>
        <v>34843</v>
      </c>
      <c r="G1601" s="3677">
        <f t="shared" si="195"/>
        <v>26001.97</v>
      </c>
      <c r="H1601" s="3670">
        <f t="shared" si="191"/>
        <v>0.7462609419395575</v>
      </c>
    </row>
    <row r="1602" spans="1:10" s="444" customFormat="1" ht="15" customHeight="1">
      <c r="A1602" s="477"/>
      <c r="B1602" s="5333"/>
      <c r="C1602" s="5334" t="s">
        <v>603</v>
      </c>
      <c r="D1602" s="5334"/>
      <c r="E1602" s="558">
        <f t="shared" si="195"/>
        <v>0</v>
      </c>
      <c r="F1602" s="486">
        <f t="shared" si="195"/>
        <v>34843</v>
      </c>
      <c r="G1602" s="605">
        <f t="shared" si="195"/>
        <v>26001.97</v>
      </c>
      <c r="H1602" s="3595">
        <f t="shared" si="191"/>
        <v>0.7462609419395575</v>
      </c>
    </row>
    <row r="1603" spans="1:10" s="444" customFormat="1" ht="15" customHeight="1">
      <c r="A1603" s="477"/>
      <c r="B1603" s="4823"/>
      <c r="C1603" s="5255" t="s">
        <v>604</v>
      </c>
      <c r="D1603" s="5256"/>
      <c r="E1603" s="3101">
        <f t="shared" si="195"/>
        <v>0</v>
      </c>
      <c r="F1603" s="3100">
        <f t="shared" si="195"/>
        <v>34843</v>
      </c>
      <c r="G1603" s="3118">
        <f t="shared" si="195"/>
        <v>26001.97</v>
      </c>
      <c r="H1603" s="3580">
        <f t="shared" si="191"/>
        <v>0.7462609419395575</v>
      </c>
    </row>
    <row r="1604" spans="1:10" s="444" customFormat="1" ht="44.25" customHeight="1" thickBot="1">
      <c r="A1604" s="477"/>
      <c r="B1604" s="4840"/>
      <c r="C1604" s="531" t="s">
        <v>310</v>
      </c>
      <c r="D1604" s="3669" t="s">
        <v>693</v>
      </c>
      <c r="E1604" s="3100">
        <v>0</v>
      </c>
      <c r="F1604" s="3100">
        <v>34843</v>
      </c>
      <c r="G1604" s="3118">
        <v>26001.97</v>
      </c>
      <c r="H1604" s="701">
        <f t="shared" si="191"/>
        <v>0.7462609419395575</v>
      </c>
    </row>
    <row r="1605" spans="1:10" s="444" customFormat="1" ht="26.25" thickBot="1">
      <c r="A1605" s="479"/>
      <c r="B1605" s="3673" t="s">
        <v>356</v>
      </c>
      <c r="C1605" s="3674"/>
      <c r="D1605" s="3675" t="s">
        <v>355</v>
      </c>
      <c r="E1605" s="3679">
        <f t="shared" ref="E1605:G1606" si="196">SUM(E1606)</f>
        <v>400000</v>
      </c>
      <c r="F1605" s="3679">
        <f t="shared" si="196"/>
        <v>514884</v>
      </c>
      <c r="G1605" s="3680">
        <f t="shared" si="196"/>
        <v>505257.27</v>
      </c>
      <c r="H1605" s="3681">
        <f t="shared" si="191"/>
        <v>0.98130310904980544</v>
      </c>
    </row>
    <row r="1606" spans="1:10" s="444" customFormat="1" ht="15" customHeight="1">
      <c r="A1606" s="477"/>
      <c r="B1606" s="494"/>
      <c r="C1606" s="5249" t="s">
        <v>567</v>
      </c>
      <c r="D1606" s="5249"/>
      <c r="E1606" s="486">
        <f t="shared" si="196"/>
        <v>400000</v>
      </c>
      <c r="F1606" s="486">
        <f t="shared" si="196"/>
        <v>514884</v>
      </c>
      <c r="G1606" s="605">
        <f t="shared" si="196"/>
        <v>505257.27</v>
      </c>
      <c r="H1606" s="3595">
        <f t="shared" si="191"/>
        <v>0.98130310904980544</v>
      </c>
      <c r="J1606" s="444" t="s">
        <v>645</v>
      </c>
    </row>
    <row r="1607" spans="1:10" s="444" customFormat="1" ht="15" customHeight="1">
      <c r="A1607" s="477"/>
      <c r="B1607" s="494"/>
      <c r="C1607" s="5257" t="s">
        <v>568</v>
      </c>
      <c r="D1607" s="5257"/>
      <c r="E1607" s="3100">
        <f>SUM(E1608,E1613)</f>
        <v>400000</v>
      </c>
      <c r="F1607" s="3100">
        <f>SUM(F1608,F1613)</f>
        <v>514884</v>
      </c>
      <c r="G1607" s="3118">
        <f>SUM(G1608,G1613)</f>
        <v>505257.27</v>
      </c>
      <c r="H1607" s="3580">
        <f t="shared" si="191"/>
        <v>0.98130310904980544</v>
      </c>
    </row>
    <row r="1608" spans="1:10" s="444" customFormat="1" ht="15" customHeight="1">
      <c r="A1608" s="477"/>
      <c r="B1608" s="494"/>
      <c r="C1608" s="5242" t="s">
        <v>569</v>
      </c>
      <c r="D1608" s="5242"/>
      <c r="E1608" s="3104">
        <f>SUM(E1609:E1611)</f>
        <v>370000</v>
      </c>
      <c r="F1608" s="3104">
        <f>SUM(F1609:F1611)</f>
        <v>484884</v>
      </c>
      <c r="G1608" s="3119">
        <f>SUM(G1609:G1611)</f>
        <v>484884</v>
      </c>
      <c r="H1608" s="3580">
        <f t="shared" si="191"/>
        <v>1</v>
      </c>
    </row>
    <row r="1609" spans="1:10" s="444" customFormat="1" ht="15" customHeight="1">
      <c r="A1609" s="477"/>
      <c r="B1609" s="494"/>
      <c r="C1609" s="3671" t="s">
        <v>337</v>
      </c>
      <c r="D1609" s="3672" t="s">
        <v>571</v>
      </c>
      <c r="E1609" s="3100">
        <v>309261</v>
      </c>
      <c r="F1609" s="3100">
        <v>405285</v>
      </c>
      <c r="G1609" s="3118">
        <v>405285</v>
      </c>
      <c r="H1609" s="3580">
        <f t="shared" si="191"/>
        <v>1</v>
      </c>
    </row>
    <row r="1610" spans="1:10" s="444" customFormat="1" ht="15" customHeight="1">
      <c r="A1610" s="477"/>
      <c r="B1610" s="494"/>
      <c r="C1610" s="3624" t="s">
        <v>315</v>
      </c>
      <c r="D1610" s="3623" t="s">
        <v>573</v>
      </c>
      <c r="E1610" s="3100">
        <v>53162</v>
      </c>
      <c r="F1610" s="3100">
        <v>69669</v>
      </c>
      <c r="G1610" s="3118">
        <v>69669</v>
      </c>
      <c r="H1610" s="3580">
        <f t="shared" si="191"/>
        <v>1</v>
      </c>
    </row>
    <row r="1611" spans="1:10" s="444" customFormat="1" ht="15" customHeight="1" thickBot="1">
      <c r="A1611" s="501"/>
      <c r="B1611" s="598"/>
      <c r="C1611" s="3613" t="s">
        <v>314</v>
      </c>
      <c r="D1611" s="3614" t="s">
        <v>574</v>
      </c>
      <c r="E1611" s="503">
        <v>7577</v>
      </c>
      <c r="F1611" s="503">
        <v>9930</v>
      </c>
      <c r="G1611" s="702">
        <v>9930</v>
      </c>
      <c r="H1611" s="2245">
        <f t="shared" si="191"/>
        <v>1</v>
      </c>
    </row>
    <row r="1612" spans="1:10" s="444" customFormat="1" ht="15" customHeight="1">
      <c r="A1612" s="500"/>
      <c r="B1612" s="3683"/>
      <c r="C1612" s="3684"/>
      <c r="D1612" s="3685"/>
      <c r="E1612" s="2292"/>
      <c r="F1612" s="2292"/>
      <c r="G1612" s="2435"/>
      <c r="H1612" s="2063"/>
    </row>
    <row r="1613" spans="1:10" s="444" customFormat="1" ht="15" customHeight="1">
      <c r="A1613" s="477"/>
      <c r="B1613" s="494"/>
      <c r="C1613" s="5259" t="s">
        <v>577</v>
      </c>
      <c r="D1613" s="5259"/>
      <c r="E1613" s="3104">
        <f>SUM(E1614:E1615)</f>
        <v>30000</v>
      </c>
      <c r="F1613" s="3104">
        <f>SUM(F1614:F1615)</f>
        <v>30000</v>
      </c>
      <c r="G1613" s="3119">
        <f>SUM(G1614:G1615)</f>
        <v>20373.27</v>
      </c>
      <c r="H1613" s="3580">
        <f>G1613/F1613</f>
        <v>0.67910899999999996</v>
      </c>
    </row>
    <row r="1614" spans="1:10" s="444" customFormat="1" ht="15" customHeight="1">
      <c r="A1614" s="477"/>
      <c r="B1614" s="494"/>
      <c r="C1614" s="3649" t="s">
        <v>313</v>
      </c>
      <c r="D1614" s="3610" t="s">
        <v>579</v>
      </c>
      <c r="E1614" s="3100">
        <v>10000</v>
      </c>
      <c r="F1614" s="3100">
        <v>10000</v>
      </c>
      <c r="G1614" s="3118">
        <v>4173.2700000000004</v>
      </c>
      <c r="H1614" s="3580">
        <f>G1614/F1614</f>
        <v>0.41732700000000006</v>
      </c>
    </row>
    <row r="1615" spans="1:10" s="444" customFormat="1" ht="15" customHeight="1" thickBot="1">
      <c r="A1615" s="477"/>
      <c r="B1615" s="494"/>
      <c r="C1615" s="3624" t="s">
        <v>322</v>
      </c>
      <c r="D1615" s="3623" t="s">
        <v>600</v>
      </c>
      <c r="E1615" s="3100">
        <v>20000</v>
      </c>
      <c r="F1615" s="3100">
        <v>20000</v>
      </c>
      <c r="G1615" s="3118">
        <v>16200</v>
      </c>
      <c r="H1615" s="3580">
        <f>G1615/F1615</f>
        <v>0.81</v>
      </c>
    </row>
    <row r="1616" spans="1:10" s="444" customFormat="1" ht="26.25" thickBot="1">
      <c r="A1616" s="477"/>
      <c r="B1616" s="3686" t="s">
        <v>353</v>
      </c>
      <c r="C1616" s="3687"/>
      <c r="D1616" s="3688" t="s">
        <v>352</v>
      </c>
      <c r="E1616" s="3689">
        <f t="shared" ref="E1616:G1617" si="197">SUM(E1617)</f>
        <v>73400</v>
      </c>
      <c r="F1616" s="3689">
        <f t="shared" si="197"/>
        <v>174240</v>
      </c>
      <c r="G1616" s="3690">
        <f t="shared" si="197"/>
        <v>164240</v>
      </c>
      <c r="H1616" s="3681">
        <f t="shared" ref="H1616:H1633" si="198">G1616/F1616</f>
        <v>0.94260789715335169</v>
      </c>
    </row>
    <row r="1617" spans="1:10" s="444" customFormat="1" ht="15" customHeight="1">
      <c r="A1617" s="477"/>
      <c r="B1617" s="5333"/>
      <c r="C1617" s="5249" t="s">
        <v>567</v>
      </c>
      <c r="D1617" s="5249"/>
      <c r="E1617" s="486">
        <f t="shared" si="197"/>
        <v>73400</v>
      </c>
      <c r="F1617" s="486">
        <f t="shared" si="197"/>
        <v>174240</v>
      </c>
      <c r="G1617" s="605">
        <f t="shared" si="197"/>
        <v>164240</v>
      </c>
      <c r="H1617" s="3595">
        <f t="shared" si="198"/>
        <v>0.94260789715335169</v>
      </c>
      <c r="J1617" s="444" t="s">
        <v>645</v>
      </c>
    </row>
    <row r="1618" spans="1:10" s="444" customFormat="1" ht="15" customHeight="1">
      <c r="A1618" s="477"/>
      <c r="B1618" s="4823"/>
      <c r="C1618" s="5257" t="s">
        <v>568</v>
      </c>
      <c r="D1618" s="5257"/>
      <c r="E1618" s="3100">
        <f>SUM(E1619,E1624)</f>
        <v>73400</v>
      </c>
      <c r="F1618" s="3100">
        <f>SUM(F1619,F1624)</f>
        <v>174240</v>
      </c>
      <c r="G1618" s="3118">
        <f>SUM(G1619,G1624)</f>
        <v>164240</v>
      </c>
      <c r="H1618" s="3580">
        <f t="shared" si="198"/>
        <v>0.94260789715335169</v>
      </c>
    </row>
    <row r="1619" spans="1:10" s="444" customFormat="1" ht="15" customHeight="1">
      <c r="A1619" s="477"/>
      <c r="B1619" s="4823"/>
      <c r="C1619" s="5242" t="s">
        <v>569</v>
      </c>
      <c r="D1619" s="5242"/>
      <c r="E1619" s="3660">
        <f>SUM(E1620:E1622)</f>
        <v>70400</v>
      </c>
      <c r="F1619" s="3660">
        <f>SUM(F1620:F1622)</f>
        <v>161240</v>
      </c>
      <c r="G1619" s="3661">
        <f>SUM(G1620:G1622)</f>
        <v>161240</v>
      </c>
      <c r="H1619" s="3580">
        <f t="shared" si="198"/>
        <v>1</v>
      </c>
    </row>
    <row r="1620" spans="1:10" s="444" customFormat="1" ht="15" customHeight="1">
      <c r="A1620" s="477"/>
      <c r="B1620" s="4823"/>
      <c r="C1620" s="3671" t="s">
        <v>337</v>
      </c>
      <c r="D1620" s="3672" t="s">
        <v>571</v>
      </c>
      <c r="E1620" s="3100">
        <v>58843</v>
      </c>
      <c r="F1620" s="3100">
        <v>134771</v>
      </c>
      <c r="G1620" s="3118">
        <v>134771</v>
      </c>
      <c r="H1620" s="3580">
        <f t="shared" si="198"/>
        <v>1</v>
      </c>
    </row>
    <row r="1621" spans="1:10" s="444" customFormat="1" ht="15" customHeight="1">
      <c r="A1621" s="477"/>
      <c r="B1621" s="4823"/>
      <c r="C1621" s="3624" t="s">
        <v>315</v>
      </c>
      <c r="D1621" s="3623" t="s">
        <v>573</v>
      </c>
      <c r="E1621" s="3100">
        <v>10115</v>
      </c>
      <c r="F1621" s="3100">
        <v>23167</v>
      </c>
      <c r="G1621" s="3118">
        <v>23167</v>
      </c>
      <c r="H1621" s="3580">
        <f t="shared" si="198"/>
        <v>1</v>
      </c>
    </row>
    <row r="1622" spans="1:10" s="444" customFormat="1" ht="15" customHeight="1">
      <c r="A1622" s="477"/>
      <c r="B1622" s="4823"/>
      <c r="C1622" s="3624" t="s">
        <v>314</v>
      </c>
      <c r="D1622" s="3623" t="s">
        <v>574</v>
      </c>
      <c r="E1622" s="3100">
        <v>1442</v>
      </c>
      <c r="F1622" s="3100">
        <v>3302</v>
      </c>
      <c r="G1622" s="3118">
        <v>3302</v>
      </c>
      <c r="H1622" s="3580">
        <f t="shared" si="198"/>
        <v>1</v>
      </c>
    </row>
    <row r="1623" spans="1:10" s="444" customFormat="1" ht="9.75" customHeight="1">
      <c r="A1623" s="477"/>
      <c r="B1623" s="4823"/>
      <c r="C1623" s="3691"/>
      <c r="D1623" s="3691"/>
      <c r="E1623" s="3100"/>
      <c r="F1623" s="3100"/>
      <c r="G1623" s="3118"/>
      <c r="H1623" s="3580"/>
    </row>
    <row r="1624" spans="1:10" s="444" customFormat="1" ht="15" customHeight="1">
      <c r="A1624" s="477"/>
      <c r="B1624" s="4823"/>
      <c r="C1624" s="5263" t="s">
        <v>577</v>
      </c>
      <c r="D1624" s="5264"/>
      <c r="E1624" s="3660">
        <f>SUM(E1625:E1626)</f>
        <v>3000</v>
      </c>
      <c r="F1624" s="3660">
        <f t="shared" ref="F1624:G1624" si="199">SUM(F1625:F1626)</f>
        <v>13000</v>
      </c>
      <c r="G1624" s="3661">
        <f t="shared" si="199"/>
        <v>3000</v>
      </c>
      <c r="H1624" s="3580">
        <f t="shared" si="198"/>
        <v>0.23076923076923078</v>
      </c>
    </row>
    <row r="1625" spans="1:10" s="444" customFormat="1" ht="15" customHeight="1">
      <c r="A1625" s="477"/>
      <c r="B1625" s="4823"/>
      <c r="C1625" s="3692" t="s">
        <v>313</v>
      </c>
      <c r="D1625" s="3693" t="s">
        <v>579</v>
      </c>
      <c r="E1625" s="3100">
        <v>0</v>
      </c>
      <c r="F1625" s="3100">
        <v>10000</v>
      </c>
      <c r="G1625" s="3118">
        <v>0</v>
      </c>
      <c r="H1625" s="3580">
        <f t="shared" si="198"/>
        <v>0</v>
      </c>
    </row>
    <row r="1626" spans="1:10" s="444" customFormat="1" ht="15" customHeight="1" thickBot="1">
      <c r="A1626" s="477"/>
      <c r="B1626" s="4840"/>
      <c r="C1626" s="599" t="s">
        <v>322</v>
      </c>
      <c r="D1626" s="3694" t="s">
        <v>600</v>
      </c>
      <c r="E1626" s="503">
        <v>3000</v>
      </c>
      <c r="F1626" s="503">
        <v>3000</v>
      </c>
      <c r="G1626" s="702">
        <v>3000</v>
      </c>
      <c r="H1626" s="701">
        <f t="shared" si="198"/>
        <v>1</v>
      </c>
    </row>
    <row r="1627" spans="1:10" s="444" customFormat="1" ht="26.25" thickBot="1">
      <c r="A1627" s="479"/>
      <c r="B1627" s="490" t="s">
        <v>351</v>
      </c>
      <c r="C1627" s="491"/>
      <c r="D1627" s="492" t="s">
        <v>350</v>
      </c>
      <c r="E1627" s="493">
        <f t="shared" ref="E1627:G1628" si="200">SUM(E1628)</f>
        <v>1300</v>
      </c>
      <c r="F1627" s="493">
        <f t="shared" si="200"/>
        <v>3703</v>
      </c>
      <c r="G1627" s="548">
        <f t="shared" si="200"/>
        <v>3703</v>
      </c>
      <c r="H1627" s="3681">
        <f t="shared" si="198"/>
        <v>1</v>
      </c>
    </row>
    <row r="1628" spans="1:10" s="444" customFormat="1" ht="15" customHeight="1">
      <c r="A1628" s="477"/>
      <c r="B1628" s="5022"/>
      <c r="C1628" s="5249" t="s">
        <v>567</v>
      </c>
      <c r="D1628" s="5249"/>
      <c r="E1628" s="486">
        <f t="shared" si="200"/>
        <v>1300</v>
      </c>
      <c r="F1628" s="486">
        <f t="shared" si="200"/>
        <v>3703</v>
      </c>
      <c r="G1628" s="605">
        <f t="shared" si="200"/>
        <v>3703</v>
      </c>
      <c r="H1628" s="3595">
        <f t="shared" si="198"/>
        <v>1</v>
      </c>
      <c r="J1628" s="444" t="s">
        <v>645</v>
      </c>
    </row>
    <row r="1629" spans="1:10" s="444" customFormat="1" ht="15" customHeight="1">
      <c r="A1629" s="477"/>
      <c r="B1629" s="5022"/>
      <c r="C1629" s="5257" t="s">
        <v>568</v>
      </c>
      <c r="D1629" s="5257"/>
      <c r="E1629" s="3100">
        <f>SUM(E1630,E1635)</f>
        <v>1300</v>
      </c>
      <c r="F1629" s="3100">
        <f>SUM(F1630,F1635)</f>
        <v>3703</v>
      </c>
      <c r="G1629" s="3118">
        <f>SUM(G1630,G1635)</f>
        <v>3703</v>
      </c>
      <c r="H1629" s="3580">
        <f t="shared" si="198"/>
        <v>1</v>
      </c>
    </row>
    <row r="1630" spans="1:10" s="444" customFormat="1" ht="15" customHeight="1">
      <c r="A1630" s="477"/>
      <c r="B1630" s="5022"/>
      <c r="C1630" s="5242" t="s">
        <v>569</v>
      </c>
      <c r="D1630" s="5242"/>
      <c r="E1630" s="3104">
        <f>SUM(E1631:E1633)</f>
        <v>0</v>
      </c>
      <c r="F1630" s="3104">
        <f>SUM(F1631:F1633)</f>
        <v>2403</v>
      </c>
      <c r="G1630" s="3119">
        <f>SUM(G1631:G1633)</f>
        <v>2403</v>
      </c>
      <c r="H1630" s="3580">
        <f t="shared" si="198"/>
        <v>1</v>
      </c>
    </row>
    <row r="1631" spans="1:10" s="444" customFormat="1" ht="15" customHeight="1">
      <c r="A1631" s="477"/>
      <c r="B1631" s="5022"/>
      <c r="C1631" s="3671" t="s">
        <v>337</v>
      </c>
      <c r="D1631" s="3672" t="s">
        <v>571</v>
      </c>
      <c r="E1631" s="3100">
        <v>0</v>
      </c>
      <c r="F1631" s="3100">
        <v>2008</v>
      </c>
      <c r="G1631" s="3118">
        <v>2008</v>
      </c>
      <c r="H1631" s="3580">
        <f t="shared" si="198"/>
        <v>1</v>
      </c>
    </row>
    <row r="1632" spans="1:10" s="444" customFormat="1" ht="15" customHeight="1">
      <c r="A1632" s="477"/>
      <c r="B1632" s="5022"/>
      <c r="C1632" s="3624" t="s">
        <v>315</v>
      </c>
      <c r="D1632" s="3623" t="s">
        <v>573</v>
      </c>
      <c r="E1632" s="3100">
        <v>0</v>
      </c>
      <c r="F1632" s="3100">
        <v>345</v>
      </c>
      <c r="G1632" s="3118">
        <v>345</v>
      </c>
      <c r="H1632" s="3580">
        <f t="shared" si="198"/>
        <v>1</v>
      </c>
    </row>
    <row r="1633" spans="1:10" s="444" customFormat="1">
      <c r="A1633" s="477"/>
      <c r="B1633" s="5022"/>
      <c r="C1633" s="3624" t="s">
        <v>314</v>
      </c>
      <c r="D1633" s="4285" t="s">
        <v>574</v>
      </c>
      <c r="E1633" s="3100">
        <v>0</v>
      </c>
      <c r="F1633" s="3100">
        <v>50</v>
      </c>
      <c r="G1633" s="3118">
        <v>50</v>
      </c>
      <c r="H1633" s="3580">
        <f t="shared" si="198"/>
        <v>1</v>
      </c>
    </row>
    <row r="1634" spans="1:10" s="444" customFormat="1">
      <c r="A1634" s="477"/>
      <c r="B1634" s="5022"/>
      <c r="C1634" s="3691"/>
      <c r="D1634" s="4278"/>
      <c r="E1634" s="3100"/>
      <c r="F1634" s="3126"/>
      <c r="G1634" s="3127"/>
      <c r="H1634" s="3641"/>
    </row>
    <row r="1635" spans="1:10" s="444" customFormat="1" ht="15" customHeight="1">
      <c r="A1635" s="477"/>
      <c r="B1635" s="5022"/>
      <c r="C1635" s="5259" t="s">
        <v>577</v>
      </c>
      <c r="D1635" s="5259"/>
      <c r="E1635" s="3104">
        <f>SUM(E1636)</f>
        <v>1300</v>
      </c>
      <c r="F1635" s="3104">
        <f>SUM(F1636)</f>
        <v>1300</v>
      </c>
      <c r="G1635" s="3119">
        <f>SUM(G1636)</f>
        <v>1300</v>
      </c>
      <c r="H1635" s="3580">
        <f t="shared" ref="H1635:H1643" si="201">G1635/F1635</f>
        <v>1</v>
      </c>
    </row>
    <row r="1636" spans="1:10" s="444" customFormat="1" ht="15" customHeight="1" thickBot="1">
      <c r="A1636" s="477"/>
      <c r="B1636" s="5265"/>
      <c r="C1636" s="3695" t="s">
        <v>322</v>
      </c>
      <c r="D1636" s="3614" t="s">
        <v>600</v>
      </c>
      <c r="E1636" s="503">
        <v>1300</v>
      </c>
      <c r="F1636" s="503">
        <v>1300</v>
      </c>
      <c r="G1636" s="702">
        <v>1300</v>
      </c>
      <c r="H1636" s="701">
        <f t="shared" si="201"/>
        <v>1</v>
      </c>
    </row>
    <row r="1637" spans="1:10" s="444" customFormat="1" ht="15" customHeight="1" thickBot="1">
      <c r="A1637" s="479"/>
      <c r="B1637" s="3686" t="s">
        <v>349</v>
      </c>
      <c r="C1637" s="3696"/>
      <c r="D1637" s="3688" t="s">
        <v>943</v>
      </c>
      <c r="E1637" s="3689">
        <f t="shared" ref="E1637:G1638" si="202">SUM(E1638)</f>
        <v>100000</v>
      </c>
      <c r="F1637" s="3689">
        <f t="shared" si="202"/>
        <v>337725</v>
      </c>
      <c r="G1637" s="3690">
        <f t="shared" si="202"/>
        <v>337725</v>
      </c>
      <c r="H1637" s="3681">
        <f t="shared" si="201"/>
        <v>1</v>
      </c>
    </row>
    <row r="1638" spans="1:10" s="444" customFormat="1" ht="15" customHeight="1">
      <c r="A1638" s="477"/>
      <c r="B1638" s="479"/>
      <c r="C1638" s="5249" t="s">
        <v>567</v>
      </c>
      <c r="D1638" s="5249"/>
      <c r="E1638" s="3331">
        <f t="shared" si="202"/>
        <v>100000</v>
      </c>
      <c r="F1638" s="3331">
        <f t="shared" si="202"/>
        <v>337725</v>
      </c>
      <c r="G1638" s="3332">
        <f t="shared" si="202"/>
        <v>337725</v>
      </c>
      <c r="H1638" s="3595">
        <f t="shared" si="201"/>
        <v>1</v>
      </c>
      <c r="J1638" s="444" t="s">
        <v>645</v>
      </c>
    </row>
    <row r="1639" spans="1:10" s="444" customFormat="1" ht="15" customHeight="1">
      <c r="A1639" s="477"/>
      <c r="B1639" s="479"/>
      <c r="C1639" s="5274" t="s">
        <v>568</v>
      </c>
      <c r="D1639" s="5274"/>
      <c r="E1639" s="3100">
        <f>SUM(E1640,E1645)</f>
        <v>100000</v>
      </c>
      <c r="F1639" s="3100">
        <f>SUM(F1640,F1645)</f>
        <v>337725</v>
      </c>
      <c r="G1639" s="3118">
        <f>SUM(G1640,G1645)</f>
        <v>337725</v>
      </c>
      <c r="H1639" s="3580">
        <f t="shared" si="201"/>
        <v>1</v>
      </c>
    </row>
    <row r="1640" spans="1:10" s="444" customFormat="1" ht="15" customHeight="1">
      <c r="A1640" s="477"/>
      <c r="B1640" s="479"/>
      <c r="C1640" s="5260" t="s">
        <v>569</v>
      </c>
      <c r="D1640" s="5261"/>
      <c r="E1640" s="3104">
        <f>SUM(E1641:E1643)</f>
        <v>97000</v>
      </c>
      <c r="F1640" s="3104">
        <f>SUM(F1641:F1643)</f>
        <v>334725</v>
      </c>
      <c r="G1640" s="3119">
        <f>SUM(G1641:G1643)</f>
        <v>334725</v>
      </c>
      <c r="H1640" s="3580">
        <f t="shared" si="201"/>
        <v>1</v>
      </c>
    </row>
    <row r="1641" spans="1:10" s="444" customFormat="1" ht="15" customHeight="1">
      <c r="A1641" s="477"/>
      <c r="B1641" s="479"/>
      <c r="C1641" s="3697" t="s">
        <v>337</v>
      </c>
      <c r="D1641" s="3672" t="s">
        <v>571</v>
      </c>
      <c r="E1641" s="3100">
        <v>81077</v>
      </c>
      <c r="F1641" s="3100">
        <v>279777</v>
      </c>
      <c r="G1641" s="3118">
        <v>279777</v>
      </c>
      <c r="H1641" s="3580">
        <f t="shared" si="201"/>
        <v>1</v>
      </c>
    </row>
    <row r="1642" spans="1:10" s="444" customFormat="1" ht="15" customHeight="1">
      <c r="A1642" s="477"/>
      <c r="B1642" s="479"/>
      <c r="C1642" s="3698" t="s">
        <v>315</v>
      </c>
      <c r="D1642" s="3699" t="s">
        <v>573</v>
      </c>
      <c r="E1642" s="3100">
        <v>13937</v>
      </c>
      <c r="F1642" s="3100">
        <v>48094</v>
      </c>
      <c r="G1642" s="3118">
        <v>48094</v>
      </c>
      <c r="H1642" s="3580">
        <f t="shared" si="201"/>
        <v>1</v>
      </c>
    </row>
    <row r="1643" spans="1:10" s="444" customFormat="1" ht="15" customHeight="1" thickBot="1">
      <c r="A1643" s="502"/>
      <c r="B1643" s="502"/>
      <c r="C1643" s="599" t="s">
        <v>314</v>
      </c>
      <c r="D1643" s="625" t="s">
        <v>574</v>
      </c>
      <c r="E1643" s="608">
        <v>1986</v>
      </c>
      <c r="F1643" s="608">
        <v>6854</v>
      </c>
      <c r="G1643" s="1309">
        <v>6854</v>
      </c>
      <c r="H1643" s="2245">
        <f t="shared" si="201"/>
        <v>1</v>
      </c>
    </row>
    <row r="1644" spans="1:10" s="444" customFormat="1" ht="15" customHeight="1">
      <c r="A1644" s="500"/>
      <c r="B1644" s="2966"/>
      <c r="C1644" s="3700"/>
      <c r="D1644" s="3701"/>
      <c r="E1644" s="2292"/>
      <c r="F1644" s="2292"/>
      <c r="G1644" s="2435"/>
      <c r="H1644" s="3631"/>
    </row>
    <row r="1645" spans="1:10" s="444" customFormat="1" ht="15" customHeight="1">
      <c r="A1645" s="477"/>
      <c r="B1645" s="479"/>
      <c r="C1645" s="5259" t="s">
        <v>577</v>
      </c>
      <c r="D1645" s="5259"/>
      <c r="E1645" s="3104">
        <f>SUM(E1646)</f>
        <v>3000</v>
      </c>
      <c r="F1645" s="3104">
        <f>SUM(F1646)</f>
        <v>3000</v>
      </c>
      <c r="G1645" s="3119">
        <f>SUM(G1646)</f>
        <v>3000</v>
      </c>
      <c r="H1645" s="3580">
        <f t="shared" ref="H1645:H1654" si="203">G1645/F1645</f>
        <v>1</v>
      </c>
    </row>
    <row r="1646" spans="1:10" s="444" customFormat="1" ht="15" customHeight="1" thickBot="1">
      <c r="A1646" s="479"/>
      <c r="B1646" s="502"/>
      <c r="C1646" s="3695" t="s">
        <v>322</v>
      </c>
      <c r="D1646" s="3614" t="s">
        <v>600</v>
      </c>
      <c r="E1646" s="503">
        <v>3000</v>
      </c>
      <c r="F1646" s="503">
        <v>3000</v>
      </c>
      <c r="G1646" s="702">
        <v>3000</v>
      </c>
      <c r="H1646" s="701">
        <f t="shared" si="203"/>
        <v>1</v>
      </c>
    </row>
    <row r="1647" spans="1:10" s="444" customFormat="1" ht="15" customHeight="1" thickBot="1">
      <c r="A1647" s="477"/>
      <c r="B1647" s="3686" t="s">
        <v>348</v>
      </c>
      <c r="C1647" s="3687"/>
      <c r="D1647" s="3688" t="s">
        <v>44</v>
      </c>
      <c r="E1647" s="3689">
        <f>SUM(E1648,E1663)</f>
        <v>194000</v>
      </c>
      <c r="F1647" s="3689">
        <f>SUM(F1648,F1663)</f>
        <v>289639</v>
      </c>
      <c r="G1647" s="3690">
        <f>SUM(G1648,G1663)</f>
        <v>225194.82</v>
      </c>
      <c r="H1647" s="3681">
        <f t="shared" si="203"/>
        <v>0.77750171765542631</v>
      </c>
    </row>
    <row r="1648" spans="1:10" s="444" customFormat="1" ht="15" customHeight="1">
      <c r="A1648" s="477"/>
      <c r="B1648" s="4823"/>
      <c r="C1648" s="5249" t="s">
        <v>567</v>
      </c>
      <c r="D1648" s="5249"/>
      <c r="E1648" s="2565">
        <f>SUM(E1649,E1660)</f>
        <v>194000</v>
      </c>
      <c r="F1648" s="2565">
        <f>SUM(F1649,F1660)</f>
        <v>241639</v>
      </c>
      <c r="G1648" s="2566">
        <f>SUM(G1649,G1660)</f>
        <v>189194.82</v>
      </c>
      <c r="H1648" s="3595">
        <f t="shared" si="203"/>
        <v>0.78296475320622916</v>
      </c>
    </row>
    <row r="1649" spans="1:10" s="444" customFormat="1" ht="15" customHeight="1">
      <c r="A1649" s="477"/>
      <c r="B1649" s="4823"/>
      <c r="C1649" s="5257" t="s">
        <v>568</v>
      </c>
      <c r="D1649" s="5257"/>
      <c r="E1649" s="3100">
        <f>SUM(E1650,E1656)</f>
        <v>194000</v>
      </c>
      <c r="F1649" s="3100">
        <f>SUM(F1650,F1656)</f>
        <v>218130</v>
      </c>
      <c r="G1649" s="3118">
        <f>SUM(G1650,G1656)</f>
        <v>166358.82</v>
      </c>
      <c r="H1649" s="3580">
        <f t="shared" si="203"/>
        <v>0.76265905652592492</v>
      </c>
    </row>
    <row r="1650" spans="1:10" s="444" customFormat="1" ht="15" customHeight="1">
      <c r="A1650" s="477"/>
      <c r="B1650" s="4823"/>
      <c r="C1650" s="5260" t="s">
        <v>569</v>
      </c>
      <c r="D1650" s="5261"/>
      <c r="E1650" s="3104">
        <f>SUM(E1651:E1654)</f>
        <v>2500</v>
      </c>
      <c r="F1650" s="3104">
        <f t="shared" ref="F1650:G1650" si="204">SUM(F1651:F1654)</f>
        <v>52500</v>
      </c>
      <c r="G1650" s="3119">
        <f t="shared" si="204"/>
        <v>49933.82</v>
      </c>
      <c r="H1650" s="3580">
        <f t="shared" si="203"/>
        <v>0.95112038095238094</v>
      </c>
    </row>
    <row r="1651" spans="1:10" s="444" customFormat="1" ht="15" customHeight="1">
      <c r="A1651" s="477"/>
      <c r="B1651" s="4823"/>
      <c r="C1651" s="3702" t="s">
        <v>315</v>
      </c>
      <c r="D1651" s="3672" t="s">
        <v>571</v>
      </c>
      <c r="E1651" s="3100">
        <v>0</v>
      </c>
      <c r="F1651" s="3100">
        <v>7220</v>
      </c>
      <c r="G1651" s="3118">
        <v>7178.54</v>
      </c>
      <c r="H1651" s="3580">
        <f t="shared" si="203"/>
        <v>0.99425761772853183</v>
      </c>
    </row>
    <row r="1652" spans="1:10" s="444" customFormat="1" ht="17.25" customHeight="1">
      <c r="A1652" s="477"/>
      <c r="B1652" s="4823"/>
      <c r="C1652" s="3702" t="s">
        <v>314</v>
      </c>
      <c r="D1652" s="3623" t="s">
        <v>1098</v>
      </c>
      <c r="E1652" s="3100">
        <v>0</v>
      </c>
      <c r="F1652" s="3100">
        <v>700</v>
      </c>
      <c r="G1652" s="3118">
        <v>682.08</v>
      </c>
      <c r="H1652" s="3580">
        <f t="shared" si="203"/>
        <v>0.97440000000000004</v>
      </c>
    </row>
    <row r="1653" spans="1:10" s="444" customFormat="1" ht="15" customHeight="1">
      <c r="A1653" s="477"/>
      <c r="B1653" s="4823"/>
      <c r="C1653" s="3702" t="s">
        <v>319</v>
      </c>
      <c r="D1653" s="3644" t="s">
        <v>575</v>
      </c>
      <c r="E1653" s="3100">
        <v>2500</v>
      </c>
      <c r="F1653" s="3100">
        <v>44260</v>
      </c>
      <c r="G1653" s="3118">
        <v>41760</v>
      </c>
      <c r="H1653" s="3580">
        <f t="shared" si="203"/>
        <v>0.94351558969724358</v>
      </c>
      <c r="J1653" s="444" t="s">
        <v>938</v>
      </c>
    </row>
    <row r="1654" spans="1:10" s="444" customFormat="1" ht="15" customHeight="1">
      <c r="A1654" s="477"/>
      <c r="B1654" s="4823"/>
      <c r="C1654" s="3702" t="s">
        <v>335</v>
      </c>
      <c r="D1654" s="3703" t="s">
        <v>576</v>
      </c>
      <c r="E1654" s="3100">
        <v>0</v>
      </c>
      <c r="F1654" s="3100">
        <v>320</v>
      </c>
      <c r="G1654" s="3118">
        <v>313.2</v>
      </c>
      <c r="H1654" s="3580">
        <f t="shared" si="203"/>
        <v>0.97875000000000001</v>
      </c>
    </row>
    <row r="1655" spans="1:10" s="444" customFormat="1" ht="15" customHeight="1">
      <c r="A1655" s="477"/>
      <c r="B1655" s="4823"/>
      <c r="C1655" s="3644"/>
      <c r="D1655" s="3644"/>
      <c r="E1655" s="3100"/>
      <c r="F1655" s="3126"/>
      <c r="G1655" s="3127"/>
      <c r="H1655" s="3641"/>
    </row>
    <row r="1656" spans="1:10" s="444" customFormat="1" ht="15" customHeight="1">
      <c r="A1656" s="477"/>
      <c r="B1656" s="4823"/>
      <c r="C1656" s="5262" t="s">
        <v>577</v>
      </c>
      <c r="D1656" s="5262"/>
      <c r="E1656" s="3104">
        <f>SUM(E1657:E1658)</f>
        <v>191500</v>
      </c>
      <c r="F1656" s="3104">
        <f>SUM(F1657:F1658)</f>
        <v>165630</v>
      </c>
      <c r="G1656" s="3119">
        <f>SUM(G1657:G1658)</f>
        <v>116425</v>
      </c>
      <c r="H1656" s="3580">
        <f>G1656/F1656</f>
        <v>0.70292217593431139</v>
      </c>
    </row>
    <row r="1657" spans="1:10" s="444" customFormat="1" ht="15" customHeight="1">
      <c r="A1657" s="477"/>
      <c r="B1657" s="4823"/>
      <c r="C1657" s="519" t="s">
        <v>312</v>
      </c>
      <c r="D1657" s="3669" t="s">
        <v>584</v>
      </c>
      <c r="E1657" s="3100">
        <v>175000</v>
      </c>
      <c r="F1657" s="3100">
        <v>163130</v>
      </c>
      <c r="G1657" s="3118">
        <v>116425</v>
      </c>
      <c r="H1657" s="3580">
        <f>G1657/F1657</f>
        <v>0.71369459939925217</v>
      </c>
      <c r="J1657" s="444" t="s">
        <v>938</v>
      </c>
    </row>
    <row r="1658" spans="1:10" s="444" customFormat="1" ht="15" customHeight="1">
      <c r="A1658" s="477"/>
      <c r="B1658" s="4823"/>
      <c r="C1658" s="3698" t="s">
        <v>327</v>
      </c>
      <c r="D1658" s="3699" t="s">
        <v>586</v>
      </c>
      <c r="E1658" s="3100">
        <v>16500</v>
      </c>
      <c r="F1658" s="3100">
        <v>2500</v>
      </c>
      <c r="G1658" s="3118">
        <v>0</v>
      </c>
      <c r="H1658" s="3580">
        <f>G1658/F1658</f>
        <v>0</v>
      </c>
      <c r="J1658" s="444" t="s">
        <v>938</v>
      </c>
    </row>
    <row r="1659" spans="1:10" s="444" customFormat="1" ht="15" customHeight="1">
      <c r="A1659" s="479"/>
      <c r="B1659" s="495"/>
      <c r="C1659" s="5266"/>
      <c r="D1659" s="5267"/>
      <c r="E1659" s="481"/>
      <c r="F1659" s="482"/>
      <c r="G1659" s="483"/>
      <c r="H1659" s="3641"/>
    </row>
    <row r="1660" spans="1:10" s="444" customFormat="1" ht="15" customHeight="1">
      <c r="A1660" s="477"/>
      <c r="B1660" s="495"/>
      <c r="C1660" s="5268" t="s">
        <v>640</v>
      </c>
      <c r="D1660" s="5268"/>
      <c r="E1660" s="481">
        <f>SUM(E1661)</f>
        <v>0</v>
      </c>
      <c r="F1660" s="481">
        <f>SUM(F1661)</f>
        <v>23509</v>
      </c>
      <c r="G1660" s="604">
        <f>SUM(G1661)</f>
        <v>22836</v>
      </c>
      <c r="H1660" s="3580">
        <f>G1660/F1660</f>
        <v>0.97137266578757075</v>
      </c>
    </row>
    <row r="1661" spans="1:10" s="444" customFormat="1" ht="29.25" customHeight="1">
      <c r="A1661" s="477"/>
      <c r="B1661" s="495"/>
      <c r="C1661" s="3624" t="s">
        <v>78</v>
      </c>
      <c r="D1661" s="3623" t="s">
        <v>702</v>
      </c>
      <c r="E1661" s="3100">
        <v>0</v>
      </c>
      <c r="F1661" s="3100">
        <v>23509</v>
      </c>
      <c r="G1661" s="3118">
        <v>22836</v>
      </c>
      <c r="H1661" s="3580">
        <f>G1661/F1661</f>
        <v>0.97137266578757075</v>
      </c>
    </row>
    <row r="1662" spans="1:10" s="444" customFormat="1" ht="15" customHeight="1">
      <c r="A1662" s="477"/>
      <c r="B1662" s="495"/>
      <c r="C1662" s="5269"/>
      <c r="D1662" s="5270"/>
      <c r="E1662" s="3100"/>
      <c r="F1662" s="3126"/>
      <c r="G1662" s="3127"/>
      <c r="H1662" s="3641"/>
    </row>
    <row r="1663" spans="1:10" s="444" customFormat="1" ht="15" customHeight="1">
      <c r="A1663" s="477"/>
      <c r="B1663" s="495"/>
      <c r="C1663" s="5271" t="s">
        <v>603</v>
      </c>
      <c r="D1663" s="5272"/>
      <c r="E1663" s="3331">
        <f t="shared" ref="E1663:G1664" si="205">SUM(E1664)</f>
        <v>0</v>
      </c>
      <c r="F1663" s="3331">
        <f t="shared" si="205"/>
        <v>48000</v>
      </c>
      <c r="G1663" s="3332">
        <f t="shared" si="205"/>
        <v>36000</v>
      </c>
      <c r="H1663" s="3595">
        <f t="shared" ref="H1663:H1671" si="206">G1663/F1663</f>
        <v>0.75</v>
      </c>
    </row>
    <row r="1664" spans="1:10" s="444" customFormat="1" ht="15" customHeight="1">
      <c r="A1664" s="477"/>
      <c r="B1664" s="495"/>
      <c r="C1664" s="5223" t="s">
        <v>604</v>
      </c>
      <c r="D1664" s="5273"/>
      <c r="E1664" s="3100">
        <f t="shared" si="205"/>
        <v>0</v>
      </c>
      <c r="F1664" s="3100">
        <f t="shared" si="205"/>
        <v>48000</v>
      </c>
      <c r="G1664" s="3118">
        <f t="shared" si="205"/>
        <v>36000</v>
      </c>
      <c r="H1664" s="3580">
        <f t="shared" si="206"/>
        <v>0.75</v>
      </c>
    </row>
    <row r="1665" spans="1:10" s="444" customFormat="1" ht="42.75" customHeight="1" thickBot="1">
      <c r="A1665" s="501"/>
      <c r="B1665" s="1356"/>
      <c r="C1665" s="3613" t="s">
        <v>310</v>
      </c>
      <c r="D1665" s="3614" t="s">
        <v>693</v>
      </c>
      <c r="E1665" s="503">
        <v>0</v>
      </c>
      <c r="F1665" s="503">
        <v>48000</v>
      </c>
      <c r="G1665" s="702">
        <v>36000</v>
      </c>
      <c r="H1665" s="2245">
        <f t="shared" si="206"/>
        <v>0.75</v>
      </c>
    </row>
    <row r="1666" spans="1:10" s="506" customFormat="1" ht="15" customHeight="1" thickBot="1">
      <c r="A1666" s="3706" t="s">
        <v>347</v>
      </c>
      <c r="B1666" s="3707"/>
      <c r="C1666" s="3708"/>
      <c r="D1666" s="3709" t="s">
        <v>944</v>
      </c>
      <c r="E1666" s="3710">
        <f>SUM(E1667,E1680,E1689,E1698,E1715,E1724,E1733,E1743,E1752,E1764)</f>
        <v>110613856</v>
      </c>
      <c r="F1666" s="3710">
        <f>SUM(F1667,F1680,F1689,F1698,F1715,F1724,F1733,F1743,F1752,F1764)</f>
        <v>125976575</v>
      </c>
      <c r="G1666" s="3711">
        <f>SUM(G1667,G1680,G1689,G1698,G1715,G1724,G1733,G1743,G1752,G1764)</f>
        <v>121187071.16</v>
      </c>
      <c r="H1666" s="3712">
        <f t="shared" si="206"/>
        <v>0.96198099654638169</v>
      </c>
      <c r="J1666" s="444"/>
    </row>
    <row r="1667" spans="1:10" s="506" customFormat="1" ht="15" customHeight="1" thickBot="1">
      <c r="A1667" s="512"/>
      <c r="B1667" s="3713" t="s">
        <v>346</v>
      </c>
      <c r="C1667" s="3714"/>
      <c r="D1667" s="3715" t="s">
        <v>274</v>
      </c>
      <c r="E1667" s="3716">
        <f>SUM(E1668)</f>
        <v>1027600</v>
      </c>
      <c r="F1667" s="3716">
        <f t="shared" ref="F1667:G1667" si="207">SUM(F1668)</f>
        <v>1866300</v>
      </c>
      <c r="G1667" s="3717">
        <f t="shared" si="207"/>
        <v>1776544.77</v>
      </c>
      <c r="H1667" s="3718">
        <f t="shared" si="206"/>
        <v>0.95190739430959659</v>
      </c>
      <c r="J1667" s="444"/>
    </row>
    <row r="1668" spans="1:10" s="506" customFormat="1" ht="15" customHeight="1">
      <c r="A1668" s="512"/>
      <c r="B1668" s="513"/>
      <c r="C1668" s="5252" t="s">
        <v>567</v>
      </c>
      <c r="D1668" s="5252"/>
      <c r="E1668" s="558">
        <f>SUM(E1669,E1673,E1677)</f>
        <v>1027600</v>
      </c>
      <c r="F1668" s="558">
        <f>SUM(F1669,F1673,F1677)</f>
        <v>1866300</v>
      </c>
      <c r="G1668" s="621">
        <f>SUM(G1669,G1673,G1677)</f>
        <v>1776544.77</v>
      </c>
      <c r="H1668" s="3719">
        <f t="shared" si="206"/>
        <v>0.95190739430959659</v>
      </c>
      <c r="J1668" s="444"/>
    </row>
    <row r="1669" spans="1:10" s="506" customFormat="1" ht="15" customHeight="1">
      <c r="A1669" s="512"/>
      <c r="B1669" s="513"/>
      <c r="C1669" s="5247" t="s">
        <v>568</v>
      </c>
      <c r="D1669" s="5247"/>
      <c r="E1669" s="560">
        <f t="shared" ref="E1669:G1670" si="208">SUM(E1670)</f>
        <v>7000</v>
      </c>
      <c r="F1669" s="560">
        <f t="shared" si="208"/>
        <v>7000</v>
      </c>
      <c r="G1669" s="1349">
        <f t="shared" si="208"/>
        <v>935</v>
      </c>
      <c r="H1669" s="3705">
        <f t="shared" si="206"/>
        <v>0.13357142857142856</v>
      </c>
      <c r="J1669" s="444"/>
    </row>
    <row r="1670" spans="1:10" s="506" customFormat="1" ht="15" customHeight="1">
      <c r="A1670" s="512"/>
      <c r="B1670" s="513"/>
      <c r="C1670" s="5282" t="s">
        <v>577</v>
      </c>
      <c r="D1670" s="5283"/>
      <c r="E1670" s="3105">
        <f t="shared" si="208"/>
        <v>7000</v>
      </c>
      <c r="F1670" s="3105">
        <f t="shared" si="208"/>
        <v>7000</v>
      </c>
      <c r="G1670" s="3106">
        <f t="shared" si="208"/>
        <v>935</v>
      </c>
      <c r="H1670" s="3705">
        <f t="shared" si="206"/>
        <v>0.13357142857142856</v>
      </c>
      <c r="J1670" s="444"/>
    </row>
    <row r="1671" spans="1:10" s="506" customFormat="1" ht="15" customHeight="1">
      <c r="A1671" s="512"/>
      <c r="B1671" s="513"/>
      <c r="C1671" s="3635" t="s">
        <v>312</v>
      </c>
      <c r="D1671" s="3636" t="s">
        <v>584</v>
      </c>
      <c r="E1671" s="3101">
        <v>7000</v>
      </c>
      <c r="F1671" s="3101">
        <v>7000</v>
      </c>
      <c r="G1671" s="3102">
        <v>935</v>
      </c>
      <c r="H1671" s="3705">
        <f t="shared" si="206"/>
        <v>0.13357142857142856</v>
      </c>
      <c r="J1671" s="444"/>
    </row>
    <row r="1672" spans="1:10" s="506" customFormat="1" ht="15" customHeight="1" thickBot="1">
      <c r="A1672" s="565"/>
      <c r="B1672" s="616"/>
      <c r="C1672" s="3720"/>
      <c r="D1672" s="3720"/>
      <c r="E1672" s="3416"/>
      <c r="F1672" s="3416"/>
      <c r="G1672" s="3721"/>
      <c r="H1672" s="2469"/>
      <c r="J1672" s="444"/>
    </row>
    <row r="1673" spans="1:10" s="506" customFormat="1" ht="15" customHeight="1">
      <c r="A1673" s="507"/>
      <c r="B1673" s="3304"/>
      <c r="C1673" s="5284" t="s">
        <v>640</v>
      </c>
      <c r="D1673" s="5284"/>
      <c r="E1673" s="2826">
        <f>SUM(E1674:E1675)</f>
        <v>770000</v>
      </c>
      <c r="F1673" s="2826">
        <f>SUM(F1674:F1675)</f>
        <v>1569300</v>
      </c>
      <c r="G1673" s="2930">
        <f>SUM(G1674:G1675)</f>
        <v>1516609.77</v>
      </c>
      <c r="H1673" s="3722">
        <f>G1673/F1673</f>
        <v>0.96642437392467984</v>
      </c>
      <c r="J1673" s="444"/>
    </row>
    <row r="1674" spans="1:10" s="506" customFormat="1" ht="51">
      <c r="A1674" s="512"/>
      <c r="B1674" s="513"/>
      <c r="C1674" s="3619" t="s">
        <v>91</v>
      </c>
      <c r="D1674" s="3620" t="s">
        <v>649</v>
      </c>
      <c r="E1674" s="3101">
        <v>770000</v>
      </c>
      <c r="F1674" s="3101">
        <v>1545300</v>
      </c>
      <c r="G1674" s="3102">
        <v>1492609.77</v>
      </c>
      <c r="H1674" s="3705">
        <f>G1674/F1674</f>
        <v>0.9659029120559115</v>
      </c>
      <c r="J1674" s="444"/>
    </row>
    <row r="1675" spans="1:10" s="506" customFormat="1" ht="38.25">
      <c r="A1675" s="512"/>
      <c r="B1675" s="513"/>
      <c r="C1675" s="3723" t="s">
        <v>78</v>
      </c>
      <c r="D1675" s="3663" t="s">
        <v>702</v>
      </c>
      <c r="E1675" s="3101">
        <v>0</v>
      </c>
      <c r="F1675" s="3101">
        <v>24000</v>
      </c>
      <c r="G1675" s="3102">
        <v>24000</v>
      </c>
      <c r="H1675" s="3705">
        <f>G1675/F1675</f>
        <v>1</v>
      </c>
      <c r="J1675" s="444"/>
    </row>
    <row r="1676" spans="1:10" s="506" customFormat="1" ht="15" customHeight="1">
      <c r="A1676" s="512"/>
      <c r="B1676" s="513"/>
      <c r="C1676" s="559"/>
      <c r="D1676" s="559"/>
      <c r="E1676" s="3101"/>
      <c r="F1676" s="3101"/>
      <c r="G1676" s="3102"/>
      <c r="H1676" s="3705"/>
      <c r="J1676" s="444"/>
    </row>
    <row r="1677" spans="1:10" s="506" customFormat="1" ht="15" customHeight="1">
      <c r="A1677" s="512"/>
      <c r="B1677" s="513"/>
      <c r="C1677" s="5279" t="s">
        <v>601</v>
      </c>
      <c r="D1677" s="5279"/>
      <c r="E1677" s="3101">
        <f>SUM(E1678:E1679)</f>
        <v>250600</v>
      </c>
      <c r="F1677" s="3101">
        <f>SUM(F1678:F1679)</f>
        <v>290000</v>
      </c>
      <c r="G1677" s="3102">
        <f>SUM(G1678:G1679)</f>
        <v>259000</v>
      </c>
      <c r="H1677" s="3705">
        <f>G1677/F1677</f>
        <v>0.89310344827586208</v>
      </c>
      <c r="J1677" s="444"/>
    </row>
    <row r="1678" spans="1:10" s="506" customFormat="1" ht="15" customHeight="1">
      <c r="A1678" s="512"/>
      <c r="B1678" s="513"/>
      <c r="C1678" s="3619" t="s">
        <v>848</v>
      </c>
      <c r="D1678" s="3620" t="s">
        <v>849</v>
      </c>
      <c r="E1678" s="3101">
        <v>222000</v>
      </c>
      <c r="F1678" s="3101">
        <v>257000</v>
      </c>
      <c r="G1678" s="3102">
        <v>226000</v>
      </c>
      <c r="H1678" s="3705">
        <f>G1678/F1678</f>
        <v>0.87937743190661477</v>
      </c>
      <c r="J1678" s="444"/>
    </row>
    <row r="1679" spans="1:10" s="506" customFormat="1" ht="15" customHeight="1" thickBot="1">
      <c r="A1679" s="512"/>
      <c r="B1679" s="513"/>
      <c r="C1679" s="3635" t="s">
        <v>716</v>
      </c>
      <c r="D1679" s="3724" t="s">
        <v>717</v>
      </c>
      <c r="E1679" s="3101">
        <v>28600</v>
      </c>
      <c r="F1679" s="3101">
        <v>33000</v>
      </c>
      <c r="G1679" s="3102">
        <v>33000</v>
      </c>
      <c r="H1679" s="3705">
        <f>G1679/F1679</f>
        <v>1</v>
      </c>
      <c r="J1679" s="444"/>
    </row>
    <row r="1680" spans="1:10" s="506" customFormat="1" ht="15" customHeight="1" thickBot="1">
      <c r="A1680" s="514"/>
      <c r="B1680" s="3713" t="s">
        <v>945</v>
      </c>
      <c r="C1680" s="3714"/>
      <c r="D1680" s="3715" t="s">
        <v>946</v>
      </c>
      <c r="E1680" s="3716">
        <f>SUM(E1681,E1686)</f>
        <v>13194231</v>
      </c>
      <c r="F1680" s="3716">
        <f>SUM(F1681,F1686)</f>
        <v>13943126</v>
      </c>
      <c r="G1680" s="3717">
        <f>SUM(G1681,G1686)</f>
        <v>13712181.210000001</v>
      </c>
      <c r="H1680" s="3718">
        <f t="shared" ref="H1680:H1684" si="209">G1680/F1680</f>
        <v>0.98343665617021614</v>
      </c>
      <c r="J1680" s="444"/>
    </row>
    <row r="1681" spans="1:10" s="506" customFormat="1" ht="15" customHeight="1">
      <c r="A1681" s="512"/>
      <c r="B1681" s="4830"/>
      <c r="C1681" s="5252" t="s">
        <v>567</v>
      </c>
      <c r="D1681" s="5252"/>
      <c r="E1681" s="558">
        <f>SUM(E1682)</f>
        <v>8307581</v>
      </c>
      <c r="F1681" s="558">
        <f>SUM(F1682)</f>
        <v>9301389</v>
      </c>
      <c r="G1681" s="621">
        <f>SUM(G1682)</f>
        <v>9301389</v>
      </c>
      <c r="H1681" s="3719">
        <f t="shared" si="209"/>
        <v>1</v>
      </c>
      <c r="J1681" s="444"/>
    </row>
    <row r="1682" spans="1:10" s="506" customFormat="1" ht="15" customHeight="1">
      <c r="A1682" s="512"/>
      <c r="B1682" s="4830"/>
      <c r="C1682" s="5281" t="s">
        <v>640</v>
      </c>
      <c r="D1682" s="5281"/>
      <c r="E1682" s="3101">
        <f>SUM(E1683:E1684)</f>
        <v>8307581</v>
      </c>
      <c r="F1682" s="3101">
        <f>SUM(F1683:F1684)</f>
        <v>9301389</v>
      </c>
      <c r="G1682" s="3102">
        <f>SUM(G1683:G1684)</f>
        <v>9301389</v>
      </c>
      <c r="H1682" s="3705">
        <f t="shared" si="209"/>
        <v>1</v>
      </c>
      <c r="J1682" s="444"/>
    </row>
    <row r="1683" spans="1:10" s="506" customFormat="1" ht="15" customHeight="1">
      <c r="A1683" s="512"/>
      <c r="B1683" s="4830"/>
      <c r="C1683" s="3619" t="s">
        <v>342</v>
      </c>
      <c r="D1683" s="3620" t="s">
        <v>947</v>
      </c>
      <c r="E1683" s="3101">
        <v>7207581</v>
      </c>
      <c r="F1683" s="3101">
        <v>7664889</v>
      </c>
      <c r="G1683" s="3102">
        <v>7664889</v>
      </c>
      <c r="H1683" s="3705">
        <f t="shared" si="209"/>
        <v>1</v>
      </c>
      <c r="J1683" s="444"/>
    </row>
    <row r="1684" spans="1:10" s="506" customFormat="1" ht="25.5">
      <c r="A1684" s="512"/>
      <c r="B1684" s="4830"/>
      <c r="C1684" s="3619" t="s">
        <v>341</v>
      </c>
      <c r="D1684" s="3620" t="s">
        <v>681</v>
      </c>
      <c r="E1684" s="3101">
        <v>1100000</v>
      </c>
      <c r="F1684" s="3101">
        <v>1636500</v>
      </c>
      <c r="G1684" s="3102">
        <v>1636500</v>
      </c>
      <c r="H1684" s="3705">
        <f t="shared" si="209"/>
        <v>1</v>
      </c>
      <c r="J1684" s="444"/>
    </row>
    <row r="1685" spans="1:10" s="506" customFormat="1" ht="15">
      <c r="A1685" s="512"/>
      <c r="B1685" s="515"/>
      <c r="C1685" s="5275"/>
      <c r="D1685" s="5276"/>
      <c r="E1685" s="3101"/>
      <c r="F1685" s="3101"/>
      <c r="G1685" s="3102"/>
      <c r="H1685" s="3705"/>
      <c r="J1685" s="444"/>
    </row>
    <row r="1686" spans="1:10" s="506" customFormat="1" ht="15">
      <c r="A1686" s="512"/>
      <c r="B1686" s="515"/>
      <c r="C1686" s="5277" t="s">
        <v>603</v>
      </c>
      <c r="D1686" s="5278"/>
      <c r="E1686" s="3330">
        <f t="shared" ref="E1686:G1687" si="210">SUM(E1687)</f>
        <v>4886650</v>
      </c>
      <c r="F1686" s="3330">
        <f t="shared" si="210"/>
        <v>4641737</v>
      </c>
      <c r="G1686" s="3725">
        <f t="shared" si="210"/>
        <v>4410792.21</v>
      </c>
      <c r="H1686" s="3719">
        <f t="shared" ref="H1686:H1693" si="211">G1686/F1686</f>
        <v>0.95024604151420033</v>
      </c>
      <c r="J1686" s="444"/>
    </row>
    <row r="1687" spans="1:10" s="506" customFormat="1" ht="15">
      <c r="A1687" s="512"/>
      <c r="B1687" s="515"/>
      <c r="C1687" s="5279" t="s">
        <v>604</v>
      </c>
      <c r="D1687" s="5280"/>
      <c r="E1687" s="3101">
        <f t="shared" si="210"/>
        <v>4886650</v>
      </c>
      <c r="F1687" s="3101">
        <f t="shared" si="210"/>
        <v>4641737</v>
      </c>
      <c r="G1687" s="3102">
        <f t="shared" si="210"/>
        <v>4410792.21</v>
      </c>
      <c r="H1687" s="3705">
        <f t="shared" si="211"/>
        <v>0.95024604151420033</v>
      </c>
      <c r="J1687" s="444"/>
    </row>
    <row r="1688" spans="1:10" s="506" customFormat="1" ht="39" thickBot="1">
      <c r="A1688" s="512"/>
      <c r="B1688" s="515"/>
      <c r="C1688" s="3726" t="s">
        <v>338</v>
      </c>
      <c r="D1688" s="3727" t="s">
        <v>731</v>
      </c>
      <c r="E1688" s="3101">
        <v>4886650</v>
      </c>
      <c r="F1688" s="3101">
        <v>4641737</v>
      </c>
      <c r="G1688" s="3102">
        <v>4410792.21</v>
      </c>
      <c r="H1688" s="1150">
        <f t="shared" si="211"/>
        <v>0.95024604151420033</v>
      </c>
      <c r="J1688" s="444"/>
    </row>
    <row r="1689" spans="1:10" s="506" customFormat="1" ht="15" customHeight="1" thickBot="1">
      <c r="A1689" s="512"/>
      <c r="B1689" s="3713" t="s">
        <v>948</v>
      </c>
      <c r="C1689" s="3714"/>
      <c r="D1689" s="3715" t="s">
        <v>278</v>
      </c>
      <c r="E1689" s="3716">
        <f>SUM(E1690,E1695)</f>
        <v>10671569</v>
      </c>
      <c r="F1689" s="3716">
        <f>SUM(F1690,F1695)</f>
        <v>12005166</v>
      </c>
      <c r="G1689" s="3717">
        <f>SUM(G1690,G1695)</f>
        <v>11995405.27</v>
      </c>
      <c r="H1689" s="3718">
        <f t="shared" si="211"/>
        <v>0.99918695584884032</v>
      </c>
      <c r="J1689" s="444"/>
    </row>
    <row r="1690" spans="1:10" s="506" customFormat="1" ht="15" customHeight="1">
      <c r="A1690" s="512"/>
      <c r="B1690" s="4830"/>
      <c r="C1690" s="5252" t="s">
        <v>567</v>
      </c>
      <c r="D1690" s="5252"/>
      <c r="E1690" s="558">
        <f>SUM(E1691)</f>
        <v>10223569</v>
      </c>
      <c r="F1690" s="558">
        <f>SUM(F1691)</f>
        <v>11456955</v>
      </c>
      <c r="G1690" s="621">
        <f>SUM(G1691)</f>
        <v>11456955</v>
      </c>
      <c r="H1690" s="3719">
        <f t="shared" si="211"/>
        <v>1</v>
      </c>
      <c r="J1690" s="444"/>
    </row>
    <row r="1691" spans="1:10" s="506" customFormat="1" ht="15" customHeight="1">
      <c r="A1691" s="512"/>
      <c r="B1691" s="4830"/>
      <c r="C1691" s="5281" t="s">
        <v>640</v>
      </c>
      <c r="D1691" s="5281"/>
      <c r="E1691" s="3101">
        <f>SUM(E1692:E1693)</f>
        <v>10223569</v>
      </c>
      <c r="F1691" s="3101">
        <f>SUM(F1692:F1693)</f>
        <v>11456955</v>
      </c>
      <c r="G1691" s="3102">
        <f>SUM(G1692:G1693)</f>
        <v>11456955</v>
      </c>
      <c r="H1691" s="3705">
        <f t="shared" si="211"/>
        <v>1</v>
      </c>
      <c r="J1691" s="444"/>
    </row>
    <row r="1692" spans="1:10" s="506" customFormat="1" ht="15" customHeight="1">
      <c r="A1692" s="512"/>
      <c r="B1692" s="4830"/>
      <c r="C1692" s="3619" t="s">
        <v>342</v>
      </c>
      <c r="D1692" s="3620" t="s">
        <v>947</v>
      </c>
      <c r="E1692" s="3101">
        <v>9573569</v>
      </c>
      <c r="F1692" s="3101">
        <v>10614955</v>
      </c>
      <c r="G1692" s="3102">
        <v>10614955</v>
      </c>
      <c r="H1692" s="3705">
        <f t="shared" si="211"/>
        <v>1</v>
      </c>
      <c r="J1692" s="444"/>
    </row>
    <row r="1693" spans="1:10" s="506" customFormat="1" ht="25.5">
      <c r="A1693" s="512"/>
      <c r="B1693" s="514"/>
      <c r="C1693" s="3642" t="s">
        <v>341</v>
      </c>
      <c r="D1693" s="3620" t="s">
        <v>681</v>
      </c>
      <c r="E1693" s="3101">
        <v>650000</v>
      </c>
      <c r="F1693" s="3101">
        <v>842000</v>
      </c>
      <c r="G1693" s="3102">
        <v>842000</v>
      </c>
      <c r="H1693" s="3705">
        <f t="shared" si="211"/>
        <v>1</v>
      </c>
      <c r="J1693" s="444"/>
    </row>
    <row r="1694" spans="1:10" s="506" customFormat="1" ht="15.75" thickBot="1">
      <c r="A1694" s="593"/>
      <c r="B1694" s="565"/>
      <c r="C1694" s="5292"/>
      <c r="D1694" s="5293"/>
      <c r="E1694" s="567"/>
      <c r="F1694" s="567"/>
      <c r="G1694" s="1149"/>
      <c r="H1694" s="2469"/>
      <c r="J1694" s="444"/>
    </row>
    <row r="1695" spans="1:10" s="506" customFormat="1" ht="15">
      <c r="A1695" s="3303"/>
      <c r="B1695" s="3303"/>
      <c r="C1695" s="5294" t="s">
        <v>603</v>
      </c>
      <c r="D1695" s="5295"/>
      <c r="E1695" s="2564">
        <f t="shared" ref="E1695:G1696" si="212">SUM(E1696)</f>
        <v>448000</v>
      </c>
      <c r="F1695" s="2564">
        <f t="shared" si="212"/>
        <v>548211</v>
      </c>
      <c r="G1695" s="3270">
        <f t="shared" si="212"/>
        <v>538450.27</v>
      </c>
      <c r="H1695" s="3728">
        <f t="shared" ref="H1695:H1703" si="213">G1695/F1695</f>
        <v>0.98219530436273628</v>
      </c>
      <c r="J1695" s="444"/>
    </row>
    <row r="1696" spans="1:10" s="506" customFormat="1" ht="15">
      <c r="A1696" s="512"/>
      <c r="B1696" s="514"/>
      <c r="C1696" s="5296" t="s">
        <v>604</v>
      </c>
      <c r="D1696" s="5297"/>
      <c r="E1696" s="3734">
        <f t="shared" si="212"/>
        <v>448000</v>
      </c>
      <c r="F1696" s="3734">
        <f t="shared" si="212"/>
        <v>548211</v>
      </c>
      <c r="G1696" s="3735">
        <f t="shared" si="212"/>
        <v>538450.27</v>
      </c>
      <c r="H1696" s="3705">
        <f t="shared" si="213"/>
        <v>0.98219530436273628</v>
      </c>
      <c r="J1696" s="444"/>
    </row>
    <row r="1697" spans="1:10" s="506" customFormat="1" ht="39" thickBot="1">
      <c r="A1697" s="512"/>
      <c r="B1697" s="565"/>
      <c r="C1697" s="3736" t="s">
        <v>338</v>
      </c>
      <c r="D1697" s="3737" t="s">
        <v>731</v>
      </c>
      <c r="E1697" s="567">
        <v>448000</v>
      </c>
      <c r="F1697" s="567">
        <v>548211</v>
      </c>
      <c r="G1697" s="1149">
        <v>538450.27</v>
      </c>
      <c r="H1697" s="1150">
        <f t="shared" si="213"/>
        <v>0.98219530436273628</v>
      </c>
      <c r="J1697" s="444"/>
    </row>
    <row r="1698" spans="1:10" s="506" customFormat="1" ht="13.5" thickBot="1">
      <c r="A1698" s="514"/>
      <c r="B1698" s="3713" t="s">
        <v>949</v>
      </c>
      <c r="C1698" s="3714"/>
      <c r="D1698" s="3715" t="s">
        <v>280</v>
      </c>
      <c r="E1698" s="3716">
        <f>SUM(E1699,E1705)</f>
        <v>19834367</v>
      </c>
      <c r="F1698" s="3716">
        <f>SUM(F1699,F1705)</f>
        <v>23814503</v>
      </c>
      <c r="G1698" s="3717">
        <f>SUM(G1699,G1705)</f>
        <v>23261350.009999998</v>
      </c>
      <c r="H1698" s="3718">
        <f t="shared" si="213"/>
        <v>0.97677243190840468</v>
      </c>
      <c r="J1698" s="444"/>
    </row>
    <row r="1699" spans="1:10" s="506" customFormat="1">
      <c r="A1699" s="512"/>
      <c r="B1699" s="513"/>
      <c r="C1699" s="5252" t="s">
        <v>567</v>
      </c>
      <c r="D1699" s="5252"/>
      <c r="E1699" s="558">
        <f>SUM(E1700)</f>
        <v>15991229</v>
      </c>
      <c r="F1699" s="558">
        <f>SUM(F1700)</f>
        <v>19835404</v>
      </c>
      <c r="G1699" s="621">
        <f>SUM(G1700)</f>
        <v>19701620.43</v>
      </c>
      <c r="H1699" s="3719">
        <f t="shared" si="213"/>
        <v>0.99325531408384726</v>
      </c>
      <c r="J1699" s="444"/>
    </row>
    <row r="1700" spans="1:10" s="506" customFormat="1">
      <c r="A1700" s="512"/>
      <c r="B1700" s="513"/>
      <c r="C1700" s="5289" t="s">
        <v>640</v>
      </c>
      <c r="D1700" s="5289"/>
      <c r="E1700" s="3734">
        <f>SUM(E1701:E1703)</f>
        <v>15991229</v>
      </c>
      <c r="F1700" s="3734">
        <f>SUM(F1701:F1703)</f>
        <v>19835404</v>
      </c>
      <c r="G1700" s="3735">
        <f>SUM(G1701:G1703)</f>
        <v>19701620.43</v>
      </c>
      <c r="H1700" s="3705">
        <f t="shared" si="213"/>
        <v>0.99325531408384726</v>
      </c>
      <c r="J1700" s="444"/>
    </row>
    <row r="1701" spans="1:10" s="506" customFormat="1">
      <c r="A1701" s="512"/>
      <c r="B1701" s="513"/>
      <c r="C1701" s="3739" t="s">
        <v>342</v>
      </c>
      <c r="D1701" s="3740" t="s">
        <v>947</v>
      </c>
      <c r="E1701" s="3734">
        <f>14934024+50000</f>
        <v>14984024</v>
      </c>
      <c r="F1701" s="3734">
        <v>18047869</v>
      </c>
      <c r="G1701" s="3735">
        <v>17947416.75</v>
      </c>
      <c r="H1701" s="3705">
        <f t="shared" si="213"/>
        <v>0.99443412128046804</v>
      </c>
      <c r="J1701" s="444"/>
    </row>
    <row r="1702" spans="1:10" s="506" customFormat="1" ht="38.25">
      <c r="A1702" s="512"/>
      <c r="B1702" s="513"/>
      <c r="C1702" s="3739" t="s">
        <v>78</v>
      </c>
      <c r="D1702" s="3740" t="s">
        <v>702</v>
      </c>
      <c r="E1702" s="3734">
        <v>0</v>
      </c>
      <c r="F1702" s="3734">
        <v>239717</v>
      </c>
      <c r="G1702" s="3735">
        <v>236876</v>
      </c>
      <c r="H1702" s="3705">
        <f t="shared" si="213"/>
        <v>0.98814852513588936</v>
      </c>
      <c r="J1702" s="444"/>
    </row>
    <row r="1703" spans="1:10" s="506" customFormat="1" ht="25.5">
      <c r="A1703" s="512"/>
      <c r="B1703" s="513"/>
      <c r="C1703" s="3739" t="s">
        <v>341</v>
      </c>
      <c r="D1703" s="3740" t="s">
        <v>681</v>
      </c>
      <c r="E1703" s="3734">
        <v>1007205</v>
      </c>
      <c r="F1703" s="3734">
        <v>1547818</v>
      </c>
      <c r="G1703" s="3735">
        <v>1517327.68</v>
      </c>
      <c r="H1703" s="3705">
        <f t="shared" si="213"/>
        <v>0.9803010948315628</v>
      </c>
      <c r="J1703" s="444"/>
    </row>
    <row r="1704" spans="1:10" s="506" customFormat="1" ht="15">
      <c r="A1704" s="512"/>
      <c r="B1704" s="513"/>
      <c r="C1704" s="3729"/>
      <c r="D1704" s="3730"/>
      <c r="E1704" s="3734"/>
      <c r="F1704" s="3734"/>
      <c r="G1704" s="3735"/>
      <c r="H1704" s="3705"/>
      <c r="J1704" s="444"/>
    </row>
    <row r="1705" spans="1:10" s="506" customFormat="1" ht="15">
      <c r="A1705" s="514"/>
      <c r="B1705" s="513"/>
      <c r="C1705" s="5298" t="s">
        <v>603</v>
      </c>
      <c r="D1705" s="5299"/>
      <c r="E1705" s="558">
        <f>SUM(E1706)</f>
        <v>3843138</v>
      </c>
      <c r="F1705" s="558">
        <f>SUM(F1706)</f>
        <v>3979099</v>
      </c>
      <c r="G1705" s="621">
        <f>SUM(G1706)</f>
        <v>3559729.58</v>
      </c>
      <c r="H1705" s="3719">
        <f t="shared" ref="H1705:H1710" si="214">G1705/F1705</f>
        <v>0.89460693991277929</v>
      </c>
      <c r="J1705" s="444"/>
    </row>
    <row r="1706" spans="1:10" s="506" customFormat="1" ht="15">
      <c r="A1706" s="512"/>
      <c r="B1706" s="513"/>
      <c r="C1706" s="5285" t="s">
        <v>604</v>
      </c>
      <c r="D1706" s="5286"/>
      <c r="E1706" s="560">
        <f>SUM(E1707:E1710)</f>
        <v>3843138</v>
      </c>
      <c r="F1706" s="560">
        <f>SUM(F1707:F1710)</f>
        <v>3979099</v>
      </c>
      <c r="G1706" s="1349">
        <f>SUM(G1707:G1710)</f>
        <v>3559729.58</v>
      </c>
      <c r="H1706" s="3705">
        <f t="shared" si="214"/>
        <v>0.89460693991277929</v>
      </c>
      <c r="J1706" s="444"/>
    </row>
    <row r="1707" spans="1:10" s="506" customFormat="1" ht="38.25">
      <c r="A1707" s="512"/>
      <c r="B1707" s="513"/>
      <c r="C1707" s="3741" t="s">
        <v>338</v>
      </c>
      <c r="D1707" s="3742" t="s">
        <v>731</v>
      </c>
      <c r="E1707" s="3734">
        <v>3315538</v>
      </c>
      <c r="F1707" s="3734">
        <v>2694158</v>
      </c>
      <c r="G1707" s="3735">
        <v>2288869.27</v>
      </c>
      <c r="H1707" s="3705">
        <f t="shared" si="214"/>
        <v>0.84956757176082476</v>
      </c>
      <c r="J1707" s="444"/>
    </row>
    <row r="1708" spans="1:10" s="506" customFormat="1" ht="38.25">
      <c r="A1708" s="512"/>
      <c r="B1708" s="515"/>
      <c r="C1708" s="3743" t="s">
        <v>950</v>
      </c>
      <c r="D1708" s="3744" t="s">
        <v>731</v>
      </c>
      <c r="E1708" s="3734">
        <v>350000</v>
      </c>
      <c r="F1708" s="3734">
        <v>1038648</v>
      </c>
      <c r="G1708" s="3735">
        <v>1024949.97</v>
      </c>
      <c r="H1708" s="3705">
        <f t="shared" si="214"/>
        <v>0.98681167248191881</v>
      </c>
      <c r="J1708" s="444"/>
    </row>
    <row r="1709" spans="1:10" s="506" customFormat="1" ht="51">
      <c r="A1709" s="512"/>
      <c r="B1709" s="515"/>
      <c r="C1709" s="3743" t="s">
        <v>309</v>
      </c>
      <c r="D1709" s="3745" t="s">
        <v>676</v>
      </c>
      <c r="E1709" s="3734">
        <v>177600</v>
      </c>
      <c r="F1709" s="3734">
        <v>174533</v>
      </c>
      <c r="G1709" s="3735">
        <v>174532.34</v>
      </c>
      <c r="H1709" s="3705">
        <f t="shared" si="214"/>
        <v>0.99999621848017284</v>
      </c>
      <c r="J1709" s="444" t="s">
        <v>654</v>
      </c>
    </row>
    <row r="1710" spans="1:10" s="506" customFormat="1" ht="38.25">
      <c r="A1710" s="512"/>
      <c r="B1710" s="515"/>
      <c r="C1710" s="512" t="s">
        <v>310</v>
      </c>
      <c r="D1710" s="3616" t="s">
        <v>693</v>
      </c>
      <c r="E1710" s="3734">
        <v>0</v>
      </c>
      <c r="F1710" s="3734">
        <v>71760</v>
      </c>
      <c r="G1710" s="3735">
        <v>71378</v>
      </c>
      <c r="H1710" s="3705">
        <f t="shared" si="214"/>
        <v>0.99467670011148268</v>
      </c>
      <c r="J1710" s="444"/>
    </row>
    <row r="1711" spans="1:10" s="506" customFormat="1">
      <c r="A1711" s="512"/>
      <c r="B1711" s="515"/>
      <c r="C1711" s="3743"/>
      <c r="D1711" s="3731"/>
      <c r="E1711" s="3734"/>
      <c r="F1711" s="3734"/>
      <c r="G1711" s="3735"/>
      <c r="H1711" s="3705"/>
      <c r="J1711" s="444"/>
    </row>
    <row r="1712" spans="1:10" s="506" customFormat="1" ht="17.25" customHeight="1">
      <c r="A1712" s="512"/>
      <c r="B1712" s="515"/>
      <c r="C1712" s="5287" t="s">
        <v>669</v>
      </c>
      <c r="D1712" s="5288"/>
      <c r="E1712" s="3746">
        <f>SUM(E1713:E1714)</f>
        <v>450000</v>
      </c>
      <c r="F1712" s="3746">
        <f>SUM(F1713:F1714)</f>
        <v>1245245</v>
      </c>
      <c r="G1712" s="3747">
        <f>SUM(G1713:G1714)</f>
        <v>1225675.43</v>
      </c>
      <c r="H1712" s="3732">
        <f t="shared" ref="H1712:H1719" si="215">G1712/F1712</f>
        <v>0.98428456247565732</v>
      </c>
      <c r="J1712" s="444"/>
    </row>
    <row r="1713" spans="1:10" s="506" customFormat="1" ht="39" thickBot="1">
      <c r="A1713" s="593"/>
      <c r="B1713" s="583"/>
      <c r="C1713" s="3733" t="s">
        <v>338</v>
      </c>
      <c r="D1713" s="3748" t="s">
        <v>731</v>
      </c>
      <c r="E1713" s="644">
        <v>100000</v>
      </c>
      <c r="F1713" s="644">
        <v>206597</v>
      </c>
      <c r="G1713" s="1350">
        <v>200725.46</v>
      </c>
      <c r="H1713" s="2469">
        <f t="shared" si="215"/>
        <v>0.97157974220342014</v>
      </c>
      <c r="J1713" s="444"/>
    </row>
    <row r="1714" spans="1:10" s="506" customFormat="1" ht="39" thickBot="1">
      <c r="A1714" s="3303"/>
      <c r="B1714" s="3749"/>
      <c r="C1714" s="3750" t="s">
        <v>950</v>
      </c>
      <c r="D1714" s="3751" t="s">
        <v>731</v>
      </c>
      <c r="E1714" s="3752">
        <v>350000</v>
      </c>
      <c r="F1714" s="3752">
        <v>1038648</v>
      </c>
      <c r="G1714" s="3753">
        <v>1024949.97</v>
      </c>
      <c r="H1714" s="3754">
        <f t="shared" si="215"/>
        <v>0.98681167248191881</v>
      </c>
      <c r="J1714" s="444"/>
    </row>
    <row r="1715" spans="1:10" s="506" customFormat="1" ht="13.5" thickBot="1">
      <c r="A1715" s="512"/>
      <c r="B1715" s="3713" t="s">
        <v>951</v>
      </c>
      <c r="C1715" s="3714"/>
      <c r="D1715" s="3715" t="s">
        <v>952</v>
      </c>
      <c r="E1715" s="3716">
        <f>SUM(E1716,E1721)</f>
        <v>834514</v>
      </c>
      <c r="F1715" s="3716">
        <f>SUM(F1716,F1721)</f>
        <v>995494</v>
      </c>
      <c r="G1715" s="3717">
        <f>SUM(G1716,G1721)</f>
        <v>980532.41</v>
      </c>
      <c r="H1715" s="3718">
        <f t="shared" si="215"/>
        <v>0.9849706879197665</v>
      </c>
      <c r="J1715" s="444"/>
    </row>
    <row r="1716" spans="1:10" s="506" customFormat="1">
      <c r="A1716" s="512"/>
      <c r="B1716" s="4830"/>
      <c r="C1716" s="5252" t="s">
        <v>567</v>
      </c>
      <c r="D1716" s="5252"/>
      <c r="E1716" s="558">
        <f>SUM(E1717)</f>
        <v>754514</v>
      </c>
      <c r="F1716" s="558">
        <f>SUM(F1717)</f>
        <v>897094</v>
      </c>
      <c r="G1716" s="621">
        <f>SUM(G1717)</f>
        <v>897094</v>
      </c>
      <c r="H1716" s="3719">
        <f t="shared" si="215"/>
        <v>1</v>
      </c>
      <c r="J1716" s="444"/>
    </row>
    <row r="1717" spans="1:10" s="506" customFormat="1">
      <c r="A1717" s="512"/>
      <c r="B1717" s="4830"/>
      <c r="C1717" s="5289" t="s">
        <v>640</v>
      </c>
      <c r="D1717" s="5289"/>
      <c r="E1717" s="3755">
        <f>SUM(E1718:E1719)</f>
        <v>754514</v>
      </c>
      <c r="F1717" s="3755">
        <f>SUM(F1718:F1719)</f>
        <v>897094</v>
      </c>
      <c r="G1717" s="3756">
        <f>SUM(G1718:G1719)</f>
        <v>897094</v>
      </c>
      <c r="H1717" s="3705">
        <f t="shared" si="215"/>
        <v>1</v>
      </c>
      <c r="J1717" s="444"/>
    </row>
    <row r="1718" spans="1:10" s="506" customFormat="1" ht="15" customHeight="1">
      <c r="A1718" s="512"/>
      <c r="B1718" s="4830"/>
      <c r="C1718" s="3739" t="s">
        <v>342</v>
      </c>
      <c r="D1718" s="3740" t="s">
        <v>947</v>
      </c>
      <c r="E1718" s="3755">
        <v>754514</v>
      </c>
      <c r="F1718" s="3755">
        <v>853394</v>
      </c>
      <c r="G1718" s="3756">
        <v>853394</v>
      </c>
      <c r="H1718" s="3705">
        <f t="shared" si="215"/>
        <v>1</v>
      </c>
      <c r="J1718" s="444"/>
    </row>
    <row r="1719" spans="1:10" s="506" customFormat="1" ht="25.5">
      <c r="A1719" s="512"/>
      <c r="B1719" s="4830"/>
      <c r="C1719" s="3758" t="s">
        <v>341</v>
      </c>
      <c r="D1719" s="3759" t="s">
        <v>681</v>
      </c>
      <c r="E1719" s="3755">
        <v>0</v>
      </c>
      <c r="F1719" s="3755">
        <v>43700</v>
      </c>
      <c r="G1719" s="3756">
        <v>43700</v>
      </c>
      <c r="H1719" s="3705">
        <f t="shared" si="215"/>
        <v>1</v>
      </c>
      <c r="J1719" s="444"/>
    </row>
    <row r="1720" spans="1:10" s="506" customFormat="1" ht="15">
      <c r="A1720" s="512"/>
      <c r="B1720" s="573"/>
      <c r="C1720" s="5290"/>
      <c r="D1720" s="5291"/>
      <c r="E1720" s="3755"/>
      <c r="F1720" s="3755"/>
      <c r="G1720" s="3756"/>
      <c r="H1720" s="3705"/>
      <c r="J1720" s="444"/>
    </row>
    <row r="1721" spans="1:10" s="506" customFormat="1" ht="15">
      <c r="A1721" s="512"/>
      <c r="B1721" s="515"/>
      <c r="C1721" s="5298" t="s">
        <v>603</v>
      </c>
      <c r="D1721" s="5299"/>
      <c r="E1721" s="558">
        <f t="shared" ref="E1721:G1722" si="216">SUM(E1722)</f>
        <v>80000</v>
      </c>
      <c r="F1721" s="558">
        <f t="shared" si="216"/>
        <v>98400</v>
      </c>
      <c r="G1721" s="621">
        <f t="shared" si="216"/>
        <v>83438.41</v>
      </c>
      <c r="H1721" s="3719">
        <f t="shared" ref="H1721:H1738" si="217">G1721/F1721</f>
        <v>0.84795132113821137</v>
      </c>
      <c r="J1721" s="444"/>
    </row>
    <row r="1722" spans="1:10" s="506" customFormat="1" ht="15">
      <c r="A1722" s="512"/>
      <c r="B1722" s="515"/>
      <c r="C1722" s="5285" t="s">
        <v>604</v>
      </c>
      <c r="D1722" s="5286"/>
      <c r="E1722" s="3755">
        <f t="shared" si="216"/>
        <v>80000</v>
      </c>
      <c r="F1722" s="3755">
        <f t="shared" si="216"/>
        <v>98400</v>
      </c>
      <c r="G1722" s="3756">
        <f t="shared" si="216"/>
        <v>83438.41</v>
      </c>
      <c r="H1722" s="3705">
        <f t="shared" si="217"/>
        <v>0.84795132113821137</v>
      </c>
      <c r="J1722" s="444"/>
    </row>
    <row r="1723" spans="1:10" s="506" customFormat="1" ht="39" thickBot="1">
      <c r="A1723" s="512"/>
      <c r="B1723" s="583"/>
      <c r="C1723" s="645" t="s">
        <v>338</v>
      </c>
      <c r="D1723" s="3737" t="s">
        <v>731</v>
      </c>
      <c r="E1723" s="567">
        <v>80000</v>
      </c>
      <c r="F1723" s="567">
        <v>98400</v>
      </c>
      <c r="G1723" s="1149">
        <v>83438.41</v>
      </c>
      <c r="H1723" s="1150">
        <f t="shared" si="217"/>
        <v>0.84795132113821137</v>
      </c>
      <c r="J1723" s="444"/>
    </row>
    <row r="1724" spans="1:10" s="506" customFormat="1" ht="15" customHeight="1" thickBot="1">
      <c r="A1724" s="514"/>
      <c r="B1724" s="568" t="s">
        <v>953</v>
      </c>
      <c r="C1724" s="569"/>
      <c r="D1724" s="570" t="s">
        <v>954</v>
      </c>
      <c r="E1724" s="571">
        <f>SUM(E1725,E1730)</f>
        <v>4952171</v>
      </c>
      <c r="F1724" s="571">
        <f>SUM(F1725,F1730)</f>
        <v>5991326</v>
      </c>
      <c r="G1724" s="1348">
        <f>SUM(G1725,G1730)</f>
        <v>5982602.46</v>
      </c>
      <c r="H1724" s="3718">
        <f t="shared" si="217"/>
        <v>0.99854397173513842</v>
      </c>
      <c r="J1724" s="444"/>
    </row>
    <row r="1725" spans="1:10" s="506" customFormat="1" ht="15" customHeight="1">
      <c r="A1725" s="512"/>
      <c r="B1725" s="4829"/>
      <c r="C1725" s="5307" t="s">
        <v>567</v>
      </c>
      <c r="D1725" s="5307"/>
      <c r="E1725" s="558">
        <f>SUM(E1726)</f>
        <v>2595371</v>
      </c>
      <c r="F1725" s="558">
        <f>SUM(F1726)</f>
        <v>2943976</v>
      </c>
      <c r="G1725" s="621">
        <f>SUM(G1726)</f>
        <v>2941976</v>
      </c>
      <c r="H1725" s="3719">
        <f t="shared" si="217"/>
        <v>0.9993206466357063</v>
      </c>
      <c r="J1725" s="444"/>
    </row>
    <row r="1726" spans="1:10" s="506" customFormat="1" ht="15" customHeight="1">
      <c r="A1726" s="512"/>
      <c r="B1726" s="4830"/>
      <c r="C1726" s="5289" t="s">
        <v>640</v>
      </c>
      <c r="D1726" s="5289"/>
      <c r="E1726" s="3755">
        <f>SUM(E1727:E1728)</f>
        <v>2595371</v>
      </c>
      <c r="F1726" s="3755">
        <f>SUM(F1727:F1728)</f>
        <v>2943976</v>
      </c>
      <c r="G1726" s="3756">
        <f>SUM(G1727:G1728)</f>
        <v>2941976</v>
      </c>
      <c r="H1726" s="3705">
        <f t="shared" si="217"/>
        <v>0.9993206466357063</v>
      </c>
      <c r="J1726" s="444"/>
    </row>
    <row r="1727" spans="1:10" s="506" customFormat="1" ht="15" customHeight="1">
      <c r="A1727" s="512"/>
      <c r="B1727" s="4830"/>
      <c r="C1727" s="3739" t="s">
        <v>342</v>
      </c>
      <c r="D1727" s="3740" t="s">
        <v>947</v>
      </c>
      <c r="E1727" s="3755">
        <v>2540371</v>
      </c>
      <c r="F1727" s="3755">
        <v>2820779</v>
      </c>
      <c r="G1727" s="3756">
        <v>2818779</v>
      </c>
      <c r="H1727" s="3705">
        <f t="shared" si="217"/>
        <v>0.9992909760034373</v>
      </c>
      <c r="J1727" s="444"/>
    </row>
    <row r="1728" spans="1:10" s="506" customFormat="1" ht="25.5">
      <c r="A1728" s="512"/>
      <c r="B1728" s="4830"/>
      <c r="C1728" s="3762" t="s">
        <v>341</v>
      </c>
      <c r="D1728" s="3763" t="s">
        <v>681</v>
      </c>
      <c r="E1728" s="3755">
        <v>55000</v>
      </c>
      <c r="F1728" s="3755">
        <v>123197</v>
      </c>
      <c r="G1728" s="3756">
        <v>123197</v>
      </c>
      <c r="H1728" s="3705">
        <f t="shared" si="217"/>
        <v>1</v>
      </c>
      <c r="J1728" s="444"/>
    </row>
    <row r="1729" spans="1:10" s="506" customFormat="1" ht="15" customHeight="1">
      <c r="A1729" s="512"/>
      <c r="B1729" s="4830"/>
      <c r="C1729" s="3764"/>
      <c r="D1729" s="3757"/>
      <c r="E1729" s="3755"/>
      <c r="F1729" s="3755"/>
      <c r="G1729" s="3756"/>
      <c r="H1729" s="3705"/>
      <c r="J1729" s="444"/>
    </row>
    <row r="1730" spans="1:10" s="506" customFormat="1" ht="15" customHeight="1">
      <c r="A1730" s="512"/>
      <c r="B1730" s="4830"/>
      <c r="C1730" s="5308" t="s">
        <v>603</v>
      </c>
      <c r="D1730" s="5308"/>
      <c r="E1730" s="558">
        <f t="shared" ref="E1730:G1731" si="218">SUM(E1731)</f>
        <v>2356800</v>
      </c>
      <c r="F1730" s="558">
        <f t="shared" si="218"/>
        <v>3047350</v>
      </c>
      <c r="G1730" s="621">
        <f t="shared" si="218"/>
        <v>3040626.46</v>
      </c>
      <c r="H1730" s="3719">
        <f t="shared" si="217"/>
        <v>0.99779364365760415</v>
      </c>
      <c r="J1730" s="444"/>
    </row>
    <row r="1731" spans="1:10" s="506" customFormat="1" ht="15" customHeight="1">
      <c r="A1731" s="512"/>
      <c r="B1731" s="4830"/>
      <c r="C1731" s="5165" t="s">
        <v>604</v>
      </c>
      <c r="D1731" s="5285"/>
      <c r="E1731" s="3755">
        <f t="shared" si="218"/>
        <v>2356800</v>
      </c>
      <c r="F1731" s="3755">
        <f t="shared" si="218"/>
        <v>3047350</v>
      </c>
      <c r="G1731" s="3756">
        <f t="shared" si="218"/>
        <v>3040626.46</v>
      </c>
      <c r="H1731" s="3705">
        <f t="shared" si="217"/>
        <v>0.99779364365760415</v>
      </c>
      <c r="J1731" s="444"/>
    </row>
    <row r="1732" spans="1:10" s="506" customFormat="1" ht="39" thickBot="1">
      <c r="A1732" s="512"/>
      <c r="B1732" s="4831"/>
      <c r="C1732" s="3765" t="s">
        <v>338</v>
      </c>
      <c r="D1732" s="3766" t="s">
        <v>731</v>
      </c>
      <c r="E1732" s="567">
        <v>2356800</v>
      </c>
      <c r="F1732" s="567">
        <v>3047350</v>
      </c>
      <c r="G1732" s="1149">
        <v>3040626.46</v>
      </c>
      <c r="H1732" s="1150">
        <f t="shared" si="217"/>
        <v>0.99779364365760415</v>
      </c>
      <c r="J1732" s="444"/>
    </row>
    <row r="1733" spans="1:10" s="506" customFormat="1" ht="15" customHeight="1" thickBot="1">
      <c r="A1733" s="514"/>
      <c r="B1733" s="568" t="s">
        <v>345</v>
      </c>
      <c r="C1733" s="569"/>
      <c r="D1733" s="570" t="s">
        <v>344</v>
      </c>
      <c r="E1733" s="3716">
        <f>SUM(E1734,E1740)</f>
        <v>10968570</v>
      </c>
      <c r="F1733" s="3716">
        <f>SUM(F1734,F1740)</f>
        <v>8294589</v>
      </c>
      <c r="G1733" s="3717">
        <f>SUM(G1734,G1740)</f>
        <v>8293346.3699999992</v>
      </c>
      <c r="H1733" s="3718">
        <f t="shared" si="217"/>
        <v>0.99985018787549318</v>
      </c>
      <c r="J1733" s="444"/>
    </row>
    <row r="1734" spans="1:10" s="506" customFormat="1" ht="15" customHeight="1">
      <c r="A1734" s="514"/>
      <c r="B1734" s="3304"/>
      <c r="C1734" s="5152" t="s">
        <v>567</v>
      </c>
      <c r="D1734" s="5300"/>
      <c r="E1734" s="2564">
        <f>SUM(E1735)</f>
        <v>10896470</v>
      </c>
      <c r="F1734" s="2564">
        <f>SUM(F1735)</f>
        <v>8154289</v>
      </c>
      <c r="G1734" s="3270">
        <f>SUM(G1735)</f>
        <v>8153142.3199999994</v>
      </c>
      <c r="H1734" s="3719">
        <f t="shared" si="217"/>
        <v>0.99985937707137917</v>
      </c>
      <c r="J1734" s="444"/>
    </row>
    <row r="1735" spans="1:10" s="506" customFormat="1" ht="15" customHeight="1">
      <c r="A1735" s="514"/>
      <c r="B1735" s="513"/>
      <c r="C1735" s="5301" t="s">
        <v>640</v>
      </c>
      <c r="D1735" s="5302"/>
      <c r="E1735" s="3755">
        <f>SUM(E1736:E1738)</f>
        <v>10896470</v>
      </c>
      <c r="F1735" s="3755">
        <f>SUM(F1736:F1738)</f>
        <v>8154289</v>
      </c>
      <c r="G1735" s="3756">
        <f>SUM(G1736:G1738)</f>
        <v>8153142.3199999994</v>
      </c>
      <c r="H1735" s="3705">
        <f t="shared" si="217"/>
        <v>0.99985937707137917</v>
      </c>
      <c r="J1735" s="444"/>
    </row>
    <row r="1736" spans="1:10" s="506" customFormat="1" ht="15" customHeight="1">
      <c r="A1736" s="512"/>
      <c r="B1736" s="513"/>
      <c r="C1736" s="3739" t="s">
        <v>342</v>
      </c>
      <c r="D1736" s="3740" t="s">
        <v>947</v>
      </c>
      <c r="E1736" s="3755">
        <v>10781470</v>
      </c>
      <c r="F1736" s="3755">
        <v>7823415</v>
      </c>
      <c r="G1736" s="3756">
        <v>7822503.7699999996</v>
      </c>
      <c r="H1736" s="3705">
        <f t="shared" si="217"/>
        <v>0.99988352528914792</v>
      </c>
      <c r="J1736" s="444"/>
    </row>
    <row r="1737" spans="1:10" s="506" customFormat="1" ht="30" customHeight="1">
      <c r="A1737" s="514"/>
      <c r="B1737" s="513"/>
      <c r="C1737" s="3758" t="s">
        <v>78</v>
      </c>
      <c r="D1737" s="3759" t="s">
        <v>702</v>
      </c>
      <c r="E1737" s="3755">
        <v>0</v>
      </c>
      <c r="F1737" s="3755">
        <v>9336</v>
      </c>
      <c r="G1737" s="3756">
        <v>9192</v>
      </c>
      <c r="H1737" s="3705">
        <f t="shared" si="217"/>
        <v>0.98457583547557836</v>
      </c>
      <c r="J1737" s="444"/>
    </row>
    <row r="1738" spans="1:10" s="506" customFormat="1" ht="26.25" thickBot="1">
      <c r="A1738" s="593"/>
      <c r="B1738" s="616"/>
      <c r="C1738" s="3760" t="s">
        <v>341</v>
      </c>
      <c r="D1738" s="3761" t="s">
        <v>681</v>
      </c>
      <c r="E1738" s="3416">
        <v>115000</v>
      </c>
      <c r="F1738" s="3416">
        <v>321538</v>
      </c>
      <c r="G1738" s="3721">
        <v>321446.55</v>
      </c>
      <c r="H1738" s="2469">
        <f t="shared" si="217"/>
        <v>0.99971558571615171</v>
      </c>
      <c r="J1738" s="444"/>
    </row>
    <row r="1739" spans="1:10" s="506" customFormat="1" ht="15" customHeight="1">
      <c r="A1739" s="507"/>
      <c r="B1739" s="3080"/>
      <c r="C1739" s="5303"/>
      <c r="D1739" s="5304"/>
      <c r="E1739" s="3767"/>
      <c r="F1739" s="3767"/>
      <c r="G1739" s="3768"/>
      <c r="H1739" s="3722"/>
      <c r="J1739" s="444"/>
    </row>
    <row r="1740" spans="1:10" s="506" customFormat="1" ht="15" customHeight="1">
      <c r="A1740" s="512"/>
      <c r="B1740" s="4830"/>
      <c r="C1740" s="5305" t="s">
        <v>603</v>
      </c>
      <c r="D1740" s="5306"/>
      <c r="E1740" s="3769">
        <f t="shared" ref="E1740:G1741" si="219">SUM(E1741)</f>
        <v>72100</v>
      </c>
      <c r="F1740" s="3769">
        <f t="shared" si="219"/>
        <v>140300</v>
      </c>
      <c r="G1740" s="3770">
        <f t="shared" si="219"/>
        <v>140204.04999999999</v>
      </c>
      <c r="H1740" s="3719">
        <f t="shared" ref="H1740:H1747" si="220">G1740/F1740</f>
        <v>0.99931610833927287</v>
      </c>
      <c r="J1740" s="444"/>
    </row>
    <row r="1741" spans="1:10" s="506" customFormat="1" ht="15" customHeight="1">
      <c r="A1741" s="512"/>
      <c r="B1741" s="4830"/>
      <c r="C1741" s="5165" t="s">
        <v>604</v>
      </c>
      <c r="D1741" s="5285"/>
      <c r="E1741" s="3755">
        <f t="shared" si="219"/>
        <v>72100</v>
      </c>
      <c r="F1741" s="3755">
        <f t="shared" si="219"/>
        <v>140300</v>
      </c>
      <c r="G1741" s="3756">
        <f t="shared" si="219"/>
        <v>140204.04999999999</v>
      </c>
      <c r="H1741" s="3705">
        <f t="shared" si="220"/>
        <v>0.99931610833927287</v>
      </c>
      <c r="J1741" s="444"/>
    </row>
    <row r="1742" spans="1:10" s="506" customFormat="1" ht="39" thickBot="1">
      <c r="A1742" s="514"/>
      <c r="B1742" s="4830"/>
      <c r="C1742" s="3758" t="s">
        <v>338</v>
      </c>
      <c r="D1742" s="3759" t="s">
        <v>731</v>
      </c>
      <c r="E1742" s="3755">
        <v>72100</v>
      </c>
      <c r="F1742" s="3755">
        <v>140300</v>
      </c>
      <c r="G1742" s="3756">
        <v>140204.04999999999</v>
      </c>
      <c r="H1742" s="3705">
        <f t="shared" si="220"/>
        <v>0.99931610833927287</v>
      </c>
      <c r="J1742" s="444"/>
    </row>
    <row r="1743" spans="1:10" s="506" customFormat="1" ht="15" customHeight="1" thickBot="1">
      <c r="A1743" s="514"/>
      <c r="B1743" s="3713" t="s">
        <v>343</v>
      </c>
      <c r="C1743" s="3714"/>
      <c r="D1743" s="3715" t="s">
        <v>285</v>
      </c>
      <c r="E1743" s="3716">
        <f>SUM(E1744,E1749)</f>
        <v>42144501</v>
      </c>
      <c r="F1743" s="3716">
        <f>SUM(F1744,F1749)</f>
        <v>47709899</v>
      </c>
      <c r="G1743" s="3717">
        <f>SUM(G1744,G1749)</f>
        <v>47200948.560000002</v>
      </c>
      <c r="H1743" s="3718">
        <f t="shared" si="220"/>
        <v>0.98933239326287403</v>
      </c>
      <c r="J1743" s="444"/>
    </row>
    <row r="1744" spans="1:10" s="506" customFormat="1" ht="15" customHeight="1">
      <c r="A1744" s="512"/>
      <c r="B1744" s="4830"/>
      <c r="C1744" s="5252" t="s">
        <v>567</v>
      </c>
      <c r="D1744" s="5252"/>
      <c r="E1744" s="558">
        <f>SUM(E1745)</f>
        <v>36815746</v>
      </c>
      <c r="F1744" s="558">
        <f>SUM(F1745)</f>
        <v>40269187</v>
      </c>
      <c r="G1744" s="621">
        <f>SUM(G1745)</f>
        <v>40220107.789999999</v>
      </c>
      <c r="H1744" s="3719">
        <f t="shared" si="220"/>
        <v>0.99878122173164308</v>
      </c>
      <c r="J1744" s="444"/>
    </row>
    <row r="1745" spans="1:10" s="506" customFormat="1" ht="15" customHeight="1">
      <c r="A1745" s="512"/>
      <c r="B1745" s="4830"/>
      <c r="C1745" s="5289" t="s">
        <v>640</v>
      </c>
      <c r="D1745" s="5289"/>
      <c r="E1745" s="3755">
        <f>SUM(E1746:E1747)</f>
        <v>36815746</v>
      </c>
      <c r="F1745" s="3755">
        <f>SUM(F1746:F1747)</f>
        <v>40269187</v>
      </c>
      <c r="G1745" s="3756">
        <f>SUM(G1746:G1747)</f>
        <v>40220107.789999999</v>
      </c>
      <c r="H1745" s="3705">
        <f t="shared" si="220"/>
        <v>0.99878122173164308</v>
      </c>
      <c r="J1745" s="444"/>
    </row>
    <row r="1746" spans="1:10" s="506" customFormat="1" ht="15" customHeight="1">
      <c r="A1746" s="512"/>
      <c r="B1746" s="4830"/>
      <c r="C1746" s="3739" t="s">
        <v>342</v>
      </c>
      <c r="D1746" s="3740" t="s">
        <v>947</v>
      </c>
      <c r="E1746" s="3755">
        <v>36166336</v>
      </c>
      <c r="F1746" s="3755">
        <v>39124453</v>
      </c>
      <c r="G1746" s="3756">
        <v>39117918.909999996</v>
      </c>
      <c r="H1746" s="3705">
        <f t="shared" si="220"/>
        <v>0.99983299216988408</v>
      </c>
      <c r="J1746" s="444"/>
    </row>
    <row r="1747" spans="1:10" s="506" customFormat="1" ht="25.5">
      <c r="A1747" s="514"/>
      <c r="B1747" s="514"/>
      <c r="C1747" s="3771" t="s">
        <v>341</v>
      </c>
      <c r="D1747" s="3759" t="s">
        <v>681</v>
      </c>
      <c r="E1747" s="3755">
        <v>649410</v>
      </c>
      <c r="F1747" s="3755">
        <v>1144734</v>
      </c>
      <c r="G1747" s="3756">
        <v>1102188.8799999999</v>
      </c>
      <c r="H1747" s="3705">
        <f t="shared" si="220"/>
        <v>0.9628340557719085</v>
      </c>
      <c r="J1747" s="444"/>
    </row>
    <row r="1748" spans="1:10" s="506" customFormat="1" ht="15" customHeight="1">
      <c r="A1748" s="512"/>
      <c r="B1748" s="514"/>
      <c r="C1748" s="559"/>
      <c r="D1748" s="559"/>
      <c r="E1748" s="560"/>
      <c r="F1748" s="560"/>
      <c r="G1748" s="1349"/>
      <c r="H1748" s="3705"/>
      <c r="J1748" s="444"/>
    </row>
    <row r="1749" spans="1:10" s="506" customFormat="1" ht="15" customHeight="1">
      <c r="A1749" s="512"/>
      <c r="B1749" s="514"/>
      <c r="C1749" s="5310" t="s">
        <v>603</v>
      </c>
      <c r="D1749" s="5310"/>
      <c r="E1749" s="3769">
        <f>SUM(E1750)</f>
        <v>5328755</v>
      </c>
      <c r="F1749" s="3769">
        <f>SUM(F1750)</f>
        <v>7440712</v>
      </c>
      <c r="G1749" s="3770">
        <f>SUM(G1750)</f>
        <v>6980840.7699999996</v>
      </c>
      <c r="H1749" s="3719">
        <f t="shared" ref="H1749:H1758" si="221">G1749/F1749</f>
        <v>0.93819526545309095</v>
      </c>
      <c r="J1749" s="444"/>
    </row>
    <row r="1750" spans="1:10" s="506" customFormat="1" ht="15" customHeight="1">
      <c r="A1750" s="512"/>
      <c r="B1750" s="514"/>
      <c r="C1750" s="5311" t="s">
        <v>604</v>
      </c>
      <c r="D1750" s="5312"/>
      <c r="E1750" s="3755">
        <f>SUM(E1751:E1751)</f>
        <v>5328755</v>
      </c>
      <c r="F1750" s="3755">
        <f>SUM(F1751:F1751)</f>
        <v>7440712</v>
      </c>
      <c r="G1750" s="3756">
        <f>SUM(G1751:G1751)</f>
        <v>6980840.7699999996</v>
      </c>
      <c r="H1750" s="3705">
        <f t="shared" si="221"/>
        <v>0.93819526545309095</v>
      </c>
      <c r="J1750" s="444"/>
    </row>
    <row r="1751" spans="1:10" s="506" customFormat="1" ht="39" thickBot="1">
      <c r="A1751" s="512"/>
      <c r="B1751" s="514"/>
      <c r="C1751" s="3758" t="s">
        <v>338</v>
      </c>
      <c r="D1751" s="3525" t="s">
        <v>731</v>
      </c>
      <c r="E1751" s="3755">
        <v>5328755</v>
      </c>
      <c r="F1751" s="3755">
        <v>7440712</v>
      </c>
      <c r="G1751" s="3756">
        <v>6980840.7699999996</v>
      </c>
      <c r="H1751" s="3705">
        <f t="shared" si="221"/>
        <v>0.93819526545309095</v>
      </c>
      <c r="J1751" s="444"/>
    </row>
    <row r="1752" spans="1:10" s="506" customFormat="1" ht="15" customHeight="1" thickBot="1">
      <c r="A1752" s="512"/>
      <c r="B1752" s="3713" t="s">
        <v>340</v>
      </c>
      <c r="C1752" s="3772"/>
      <c r="D1752" s="3715" t="s">
        <v>287</v>
      </c>
      <c r="E1752" s="3716">
        <f>SUM(E1753,E1760)</f>
        <v>4400000</v>
      </c>
      <c r="F1752" s="3716">
        <f>SUM(F1753,F1760)</f>
        <v>6890600</v>
      </c>
      <c r="G1752" s="3717">
        <f>SUM(G1753,G1760)</f>
        <v>5879100</v>
      </c>
      <c r="H1752" s="3718">
        <f t="shared" si="221"/>
        <v>0.85320581661974282</v>
      </c>
      <c r="J1752" s="444"/>
    </row>
    <row r="1753" spans="1:10" s="506" customFormat="1" ht="15" customHeight="1">
      <c r="A1753" s="512"/>
      <c r="B1753" s="4830"/>
      <c r="C1753" s="5252" t="s">
        <v>567</v>
      </c>
      <c r="D1753" s="5252"/>
      <c r="E1753" s="558">
        <f>SUM(E1754)</f>
        <v>4400000</v>
      </c>
      <c r="F1753" s="558">
        <f>SUM(F1754)</f>
        <v>5390600</v>
      </c>
      <c r="G1753" s="621">
        <f>SUM(G1754)</f>
        <v>5379100</v>
      </c>
      <c r="H1753" s="3719">
        <f t="shared" si="221"/>
        <v>0.99786665677290098</v>
      </c>
      <c r="J1753" s="444"/>
    </row>
    <row r="1754" spans="1:10" s="506" customFormat="1" ht="15" customHeight="1">
      <c r="A1754" s="512"/>
      <c r="B1754" s="4830"/>
      <c r="C1754" s="5289" t="s">
        <v>640</v>
      </c>
      <c r="D1754" s="5289"/>
      <c r="E1754" s="3755">
        <f>SUM(E1755:E1758)</f>
        <v>4400000</v>
      </c>
      <c r="F1754" s="3755">
        <f>SUM(F1755:F1758)</f>
        <v>5390600</v>
      </c>
      <c r="G1754" s="3756">
        <f>SUM(G1755:G1758)</f>
        <v>5379100</v>
      </c>
      <c r="H1754" s="3705">
        <f t="shared" si="221"/>
        <v>0.99786665677290098</v>
      </c>
      <c r="J1754" s="444"/>
    </row>
    <row r="1755" spans="1:10" s="506" customFormat="1" ht="29.25" customHeight="1">
      <c r="A1755" s="512"/>
      <c r="B1755" s="515"/>
      <c r="C1755" s="3773" t="s">
        <v>78</v>
      </c>
      <c r="D1755" s="3738" t="s">
        <v>666</v>
      </c>
      <c r="E1755" s="3755">
        <v>0</v>
      </c>
      <c r="F1755" s="3755">
        <v>12000</v>
      </c>
      <c r="G1755" s="3756">
        <v>12000</v>
      </c>
      <c r="H1755" s="3705">
        <f t="shared" si="221"/>
        <v>1</v>
      </c>
      <c r="J1755" s="444"/>
    </row>
    <row r="1756" spans="1:10" s="506" customFormat="1" ht="45" customHeight="1">
      <c r="A1756" s="512"/>
      <c r="B1756" s="514"/>
      <c r="C1756" s="3739" t="s">
        <v>955</v>
      </c>
      <c r="D1756" s="3740" t="s">
        <v>956</v>
      </c>
      <c r="E1756" s="3755">
        <v>4400000</v>
      </c>
      <c r="F1756" s="3755">
        <v>4757109</v>
      </c>
      <c r="G1756" s="3756">
        <v>4757109</v>
      </c>
      <c r="H1756" s="3705">
        <f t="shared" si="221"/>
        <v>1</v>
      </c>
      <c r="J1756" s="444"/>
    </row>
    <row r="1757" spans="1:10" s="506" customFormat="1" ht="39.75" customHeight="1">
      <c r="A1757" s="512"/>
      <c r="B1757" s="514"/>
      <c r="C1757" s="3758" t="s">
        <v>957</v>
      </c>
      <c r="D1757" s="3774" t="s">
        <v>958</v>
      </c>
      <c r="E1757" s="3755">
        <v>0</v>
      </c>
      <c r="F1757" s="3755">
        <v>607891</v>
      </c>
      <c r="G1757" s="3756">
        <v>596391</v>
      </c>
      <c r="H1757" s="3705">
        <f t="shared" si="221"/>
        <v>0.98108213479061213</v>
      </c>
      <c r="J1757" s="444"/>
    </row>
    <row r="1758" spans="1:10" s="506" customFormat="1" ht="25.5">
      <c r="A1758" s="512"/>
      <c r="B1758" s="514"/>
      <c r="C1758" s="580" t="s">
        <v>341</v>
      </c>
      <c r="D1758" s="3775" t="s">
        <v>681</v>
      </c>
      <c r="E1758" s="3755">
        <v>0</v>
      </c>
      <c r="F1758" s="3755">
        <v>13600</v>
      </c>
      <c r="G1758" s="3756">
        <v>13600</v>
      </c>
      <c r="H1758" s="3705">
        <f t="shared" si="221"/>
        <v>1</v>
      </c>
      <c r="J1758" s="444"/>
    </row>
    <row r="1759" spans="1:10" s="506" customFormat="1" ht="15" customHeight="1" thickBot="1">
      <c r="A1759" s="593"/>
      <c r="B1759" s="565"/>
      <c r="C1759" s="5319"/>
      <c r="D1759" s="5320"/>
      <c r="E1759" s="567"/>
      <c r="F1759" s="567"/>
      <c r="G1759" s="1149"/>
      <c r="H1759" s="2469"/>
      <c r="J1759" s="444"/>
    </row>
    <row r="1760" spans="1:10" s="506" customFormat="1" ht="15" customHeight="1">
      <c r="A1760" s="3303"/>
      <c r="B1760" s="3303"/>
      <c r="C1760" s="5294" t="s">
        <v>603</v>
      </c>
      <c r="D1760" s="5294"/>
      <c r="E1760" s="2564">
        <f>SUM(E1761)</f>
        <v>0</v>
      </c>
      <c r="F1760" s="2564">
        <f>SUM(F1761)</f>
        <v>1500000</v>
      </c>
      <c r="G1760" s="3270">
        <f>SUM(G1761)</f>
        <v>500000</v>
      </c>
      <c r="H1760" s="3728">
        <f t="shared" ref="H1760:H1770" si="222">G1760/F1760</f>
        <v>0.33333333333333331</v>
      </c>
      <c r="J1760" s="444"/>
    </row>
    <row r="1761" spans="1:10" s="506" customFormat="1" ht="15" customHeight="1">
      <c r="A1761" s="512"/>
      <c r="B1761" s="514"/>
      <c r="C1761" s="5296" t="s">
        <v>604</v>
      </c>
      <c r="D1761" s="5296"/>
      <c r="E1761" s="3755">
        <f>SUM(E1762:E1763)</f>
        <v>0</v>
      </c>
      <c r="F1761" s="3755">
        <f>SUM(F1762:F1763)</f>
        <v>1500000</v>
      </c>
      <c r="G1761" s="3755">
        <f>SUM(G1762:G1763)</f>
        <v>500000</v>
      </c>
      <c r="H1761" s="3705">
        <f t="shared" si="222"/>
        <v>0.33333333333333331</v>
      </c>
      <c r="J1761" s="444"/>
    </row>
    <row r="1762" spans="1:10" s="506" customFormat="1" ht="38.25">
      <c r="A1762" s="512"/>
      <c r="B1762" s="514"/>
      <c r="C1762" s="3776" t="s">
        <v>310</v>
      </c>
      <c r="D1762" s="3774" t="s">
        <v>693</v>
      </c>
      <c r="E1762" s="3755">
        <v>0</v>
      </c>
      <c r="F1762" s="3755">
        <v>500000</v>
      </c>
      <c r="G1762" s="3756">
        <v>500000</v>
      </c>
      <c r="H1762" s="3705">
        <f t="shared" si="222"/>
        <v>1</v>
      </c>
      <c r="J1762" s="444"/>
    </row>
    <row r="1763" spans="1:10" s="506" customFormat="1" ht="39" thickBot="1">
      <c r="A1763" s="512"/>
      <c r="B1763" s="514"/>
      <c r="C1763" s="563" t="s">
        <v>959</v>
      </c>
      <c r="D1763" s="562" t="s">
        <v>960</v>
      </c>
      <c r="E1763" s="560">
        <v>0</v>
      </c>
      <c r="F1763" s="560">
        <v>1000000</v>
      </c>
      <c r="G1763" s="1349">
        <v>0</v>
      </c>
      <c r="H1763" s="1150">
        <f t="shared" si="222"/>
        <v>0</v>
      </c>
      <c r="J1763" s="444"/>
    </row>
    <row r="1764" spans="1:10" s="506" customFormat="1" ht="15" customHeight="1" thickBot="1">
      <c r="A1764" s="512"/>
      <c r="B1764" s="3713" t="s">
        <v>961</v>
      </c>
      <c r="C1764" s="3714"/>
      <c r="D1764" s="3715" t="s">
        <v>44</v>
      </c>
      <c r="E1764" s="3716">
        <f>SUM(E1765,E1784)</f>
        <v>2586333</v>
      </c>
      <c r="F1764" s="3716">
        <f>SUM(F1765,F1784)</f>
        <v>4465572</v>
      </c>
      <c r="G1764" s="3717">
        <f>SUM(G1765,G1784)</f>
        <v>2105060.1</v>
      </c>
      <c r="H1764" s="3718">
        <f t="shared" si="222"/>
        <v>0.4713976395409144</v>
      </c>
      <c r="J1764" s="444"/>
    </row>
    <row r="1765" spans="1:10" s="506" customFormat="1" ht="15" customHeight="1">
      <c r="A1765" s="512"/>
      <c r="B1765" s="646"/>
      <c r="C1765" s="5308" t="s">
        <v>567</v>
      </c>
      <c r="D1765" s="5308"/>
      <c r="E1765" s="558">
        <f>SUM(E1766,E1777,E1781)</f>
        <v>1702570</v>
      </c>
      <c r="F1765" s="558">
        <f>SUM(F1766,F1777,F1781)</f>
        <v>1772291</v>
      </c>
      <c r="G1765" s="621">
        <f>SUM(G1766,G1777,G1781)</f>
        <v>1435063.18</v>
      </c>
      <c r="H1765" s="3719">
        <f t="shared" si="222"/>
        <v>0.80972209417076535</v>
      </c>
      <c r="J1765" s="444"/>
    </row>
    <row r="1766" spans="1:10" s="506" customFormat="1" ht="15" customHeight="1">
      <c r="A1766" s="512"/>
      <c r="B1766" s="646"/>
      <c r="C1766" s="5289" t="s">
        <v>568</v>
      </c>
      <c r="D1766" s="5289"/>
      <c r="E1766" s="3755">
        <f>SUM(E1767,E1772)</f>
        <v>1702570</v>
      </c>
      <c r="F1766" s="3755">
        <f>SUM(F1767,F1772)</f>
        <v>1545570</v>
      </c>
      <c r="G1766" s="3756">
        <f>SUM(G1767,G1772)</f>
        <v>1217188.8799999999</v>
      </c>
      <c r="H1766" s="3705">
        <f t="shared" si="222"/>
        <v>0.78753397128567448</v>
      </c>
      <c r="J1766" s="444"/>
    </row>
    <row r="1767" spans="1:10" s="506" customFormat="1" ht="15" customHeight="1">
      <c r="A1767" s="512"/>
      <c r="B1767" s="646"/>
      <c r="C1767" s="5258" t="s">
        <v>569</v>
      </c>
      <c r="D1767" s="5258"/>
      <c r="E1767" s="3777">
        <f>SUM(E1768:E1770)</f>
        <v>164550</v>
      </c>
      <c r="F1767" s="3777">
        <f>SUM(F1768:F1770)</f>
        <v>257550</v>
      </c>
      <c r="G1767" s="3778">
        <f>SUM(G1768:G1770)</f>
        <v>101198.9</v>
      </c>
      <c r="H1767" s="3705">
        <f t="shared" si="222"/>
        <v>0.39292913997282081</v>
      </c>
      <c r="J1767" s="444"/>
    </row>
    <row r="1768" spans="1:10" s="506" customFormat="1" ht="15" customHeight="1">
      <c r="A1768" s="512"/>
      <c r="B1768" s="646"/>
      <c r="C1768" s="3739" t="s">
        <v>315</v>
      </c>
      <c r="D1768" s="3740" t="s">
        <v>573</v>
      </c>
      <c r="E1768" s="3755">
        <v>11224</v>
      </c>
      <c r="F1768" s="3755">
        <v>13734</v>
      </c>
      <c r="G1768" s="3756">
        <v>171.9</v>
      </c>
      <c r="H1768" s="3705">
        <f t="shared" si="222"/>
        <v>1.2516382699868938E-2</v>
      </c>
      <c r="J1768" s="444"/>
    </row>
    <row r="1769" spans="1:10" s="506" customFormat="1" ht="15" customHeight="1">
      <c r="A1769" s="512"/>
      <c r="B1769" s="646"/>
      <c r="C1769" s="3739" t="s">
        <v>314</v>
      </c>
      <c r="D1769" s="3740" t="s">
        <v>574</v>
      </c>
      <c r="E1769" s="3755">
        <v>1149</v>
      </c>
      <c r="F1769" s="3755">
        <v>1411</v>
      </c>
      <c r="G1769" s="3756">
        <v>0</v>
      </c>
      <c r="H1769" s="3705">
        <f t="shared" si="222"/>
        <v>0</v>
      </c>
      <c r="J1769" s="444"/>
    </row>
    <row r="1770" spans="1:10" s="506" customFormat="1" ht="15" customHeight="1">
      <c r="A1770" s="514"/>
      <c r="B1770" s="646"/>
      <c r="C1770" s="3758" t="s">
        <v>319</v>
      </c>
      <c r="D1770" s="3759" t="s">
        <v>575</v>
      </c>
      <c r="E1770" s="3755">
        <f>17250+134927</f>
        <v>152177</v>
      </c>
      <c r="F1770" s="3755">
        <v>242405</v>
      </c>
      <c r="G1770" s="3756">
        <v>101027</v>
      </c>
      <c r="H1770" s="3705">
        <f t="shared" si="222"/>
        <v>0.41676945607557597</v>
      </c>
      <c r="J1770" s="444" t="s">
        <v>767</v>
      </c>
    </row>
    <row r="1771" spans="1:10" s="506" customFormat="1" ht="15" customHeight="1">
      <c r="A1771" s="512"/>
      <c r="B1771" s="646"/>
      <c r="C1771" s="3704"/>
      <c r="D1771" s="3704"/>
      <c r="E1771" s="560"/>
      <c r="F1771" s="560"/>
      <c r="G1771" s="1349"/>
      <c r="H1771" s="3705"/>
      <c r="J1771" s="444"/>
    </row>
    <row r="1772" spans="1:10" s="506" customFormat="1" ht="15" customHeight="1">
      <c r="A1772" s="512"/>
      <c r="B1772" s="646"/>
      <c r="C1772" s="5313" t="s">
        <v>577</v>
      </c>
      <c r="D1772" s="5313"/>
      <c r="E1772" s="3777">
        <f>SUM(E1773:E1775)</f>
        <v>1538020</v>
      </c>
      <c r="F1772" s="3777">
        <f>SUM(F1773:F1775)</f>
        <v>1288020</v>
      </c>
      <c r="G1772" s="3778">
        <f>SUM(G1773:G1775)</f>
        <v>1115989.98</v>
      </c>
      <c r="H1772" s="3705">
        <f>G1772/F1772</f>
        <v>0.86643839381376064</v>
      </c>
      <c r="J1772" s="444" t="s">
        <v>767</v>
      </c>
    </row>
    <row r="1773" spans="1:10" s="506" customFormat="1" ht="15" customHeight="1">
      <c r="A1773" s="512"/>
      <c r="B1773" s="646"/>
      <c r="C1773" s="3739" t="s">
        <v>313</v>
      </c>
      <c r="D1773" s="3740" t="s">
        <v>579</v>
      </c>
      <c r="E1773" s="3755">
        <f>12000+8050</f>
        <v>20050</v>
      </c>
      <c r="F1773" s="3755">
        <v>45050</v>
      </c>
      <c r="G1773" s="3756">
        <v>25716.13</v>
      </c>
      <c r="H1773" s="3705">
        <f>G1773/F1773</f>
        <v>0.57083529411764711</v>
      </c>
      <c r="J1773" s="444"/>
    </row>
    <row r="1774" spans="1:10" s="506" customFormat="1" ht="15" customHeight="1">
      <c r="A1774" s="512"/>
      <c r="B1774" s="646"/>
      <c r="C1774" s="3739" t="s">
        <v>333</v>
      </c>
      <c r="D1774" s="3740" t="s">
        <v>591</v>
      </c>
      <c r="E1774" s="3755">
        <v>0</v>
      </c>
      <c r="F1774" s="3755">
        <v>2000</v>
      </c>
      <c r="G1774" s="3756">
        <v>0</v>
      </c>
      <c r="H1774" s="3705"/>
      <c r="J1774" s="444"/>
    </row>
    <row r="1775" spans="1:10" s="506" customFormat="1" ht="15" customHeight="1">
      <c r="A1775" s="512"/>
      <c r="B1775" s="646"/>
      <c r="C1775" s="3739" t="s">
        <v>312</v>
      </c>
      <c r="D1775" s="3740" t="s">
        <v>584</v>
      </c>
      <c r="E1775" s="3755">
        <f>8000+1509970</f>
        <v>1517970</v>
      </c>
      <c r="F1775" s="3755">
        <v>1240970</v>
      </c>
      <c r="G1775" s="3756">
        <v>1090273.8500000001</v>
      </c>
      <c r="H1775" s="3705">
        <f>G1775/F1775</f>
        <v>0.87856583962545431</v>
      </c>
      <c r="J1775" s="444"/>
    </row>
    <row r="1776" spans="1:10" s="506" customFormat="1" ht="15" customHeight="1">
      <c r="A1776" s="512"/>
      <c r="B1776" s="647"/>
      <c r="C1776" s="3776"/>
      <c r="D1776" s="3779"/>
      <c r="E1776" s="3755"/>
      <c r="F1776" s="3755"/>
      <c r="G1776" s="3756"/>
      <c r="H1776" s="3705"/>
      <c r="J1776" s="444"/>
    </row>
    <row r="1777" spans="1:10" s="506" customFormat="1" ht="15" customHeight="1">
      <c r="A1777" s="512"/>
      <c r="B1777" s="647"/>
      <c r="C1777" s="5314" t="s">
        <v>640</v>
      </c>
      <c r="D1777" s="5315"/>
      <c r="E1777" s="560">
        <f>SUM(E1778:E1779)</f>
        <v>0</v>
      </c>
      <c r="F1777" s="560">
        <f>SUM(F1778:F1779)</f>
        <v>220721</v>
      </c>
      <c r="G1777" s="1349">
        <f>SUM(G1778:G1779)</f>
        <v>217343</v>
      </c>
      <c r="H1777" s="3705">
        <f>G1777/F1777</f>
        <v>0.98469561120147153</v>
      </c>
      <c r="J1777" s="444"/>
    </row>
    <row r="1778" spans="1:10" s="506" customFormat="1" ht="51">
      <c r="A1778" s="512"/>
      <c r="B1778" s="647"/>
      <c r="C1778" s="3739" t="s">
        <v>91</v>
      </c>
      <c r="D1778" s="3780" t="s">
        <v>649</v>
      </c>
      <c r="E1778" s="3755">
        <v>0</v>
      </c>
      <c r="F1778" s="3755">
        <v>25680</v>
      </c>
      <c r="G1778" s="3756">
        <v>25680</v>
      </c>
      <c r="H1778" s="3705">
        <f>G1778/F1778</f>
        <v>1</v>
      </c>
      <c r="J1778" s="444"/>
    </row>
    <row r="1779" spans="1:10" s="506" customFormat="1" ht="38.25">
      <c r="A1779" s="512"/>
      <c r="B1779" s="647"/>
      <c r="C1779" s="3739" t="s">
        <v>78</v>
      </c>
      <c r="D1779" s="3740" t="s">
        <v>702</v>
      </c>
      <c r="E1779" s="3755">
        <v>0</v>
      </c>
      <c r="F1779" s="3755">
        <v>195041</v>
      </c>
      <c r="G1779" s="3756">
        <v>191663</v>
      </c>
      <c r="H1779" s="3705">
        <f>G1779/F1779</f>
        <v>0.98268056459923814</v>
      </c>
      <c r="J1779" s="444"/>
    </row>
    <row r="1780" spans="1:10" s="506" customFormat="1" ht="15" customHeight="1">
      <c r="A1780" s="512"/>
      <c r="B1780" s="647"/>
      <c r="C1780" s="580"/>
      <c r="D1780" s="581"/>
      <c r="E1780" s="560"/>
      <c r="F1780" s="560"/>
      <c r="G1780" s="1349"/>
      <c r="H1780" s="3705"/>
      <c r="J1780" s="444"/>
    </row>
    <row r="1781" spans="1:10" s="444" customFormat="1" ht="15" customHeight="1">
      <c r="A1781" s="477"/>
      <c r="B1781" s="479"/>
      <c r="C1781" s="5316" t="s">
        <v>601</v>
      </c>
      <c r="D1781" s="5317"/>
      <c r="E1781" s="481">
        <f>SUM(E1782:E1782)</f>
        <v>0</v>
      </c>
      <c r="F1781" s="560">
        <f>SUM(F1782:F1782)</f>
        <v>6000</v>
      </c>
      <c r="G1781" s="1349">
        <f>SUM(G1782:G1782)</f>
        <v>531.29999999999995</v>
      </c>
      <c r="H1781" s="3705">
        <f>G1781/F1781</f>
        <v>8.854999999999999E-2</v>
      </c>
    </row>
    <row r="1782" spans="1:10" s="444" customFormat="1" ht="15" customHeight="1">
      <c r="A1782" s="477"/>
      <c r="B1782" s="479"/>
      <c r="C1782" s="3781" t="s">
        <v>320</v>
      </c>
      <c r="D1782" s="3693" t="s">
        <v>744</v>
      </c>
      <c r="E1782" s="481">
        <v>0</v>
      </c>
      <c r="F1782" s="560">
        <v>6000</v>
      </c>
      <c r="G1782" s="1349">
        <v>531.29999999999995</v>
      </c>
      <c r="H1782" s="3705">
        <f>G1782/F1782</f>
        <v>8.854999999999999E-2</v>
      </c>
    </row>
    <row r="1783" spans="1:10" s="506" customFormat="1" ht="15" customHeight="1" thickBot="1">
      <c r="A1783" s="593"/>
      <c r="B1783" s="3782"/>
      <c r="C1783" s="3736"/>
      <c r="D1783" s="3783"/>
      <c r="E1783" s="567"/>
      <c r="F1783" s="567"/>
      <c r="G1783" s="1149"/>
      <c r="H1783" s="2469"/>
      <c r="J1783" s="444"/>
    </row>
    <row r="1784" spans="1:10" s="506" customFormat="1" ht="15" customHeight="1">
      <c r="A1784" s="507"/>
      <c r="B1784" s="3303"/>
      <c r="C1784" s="5294" t="s">
        <v>603</v>
      </c>
      <c r="D1784" s="5294"/>
      <c r="E1784" s="2564">
        <f>SUM(E1785)</f>
        <v>883763</v>
      </c>
      <c r="F1784" s="2564">
        <f>SUM(F1785)</f>
        <v>2693281</v>
      </c>
      <c r="G1784" s="3270">
        <f>SUM(G1785)</f>
        <v>669996.92000000004</v>
      </c>
      <c r="H1784" s="3728">
        <f t="shared" ref="H1784:H1798" si="223">G1784/F1784</f>
        <v>0.24876606637034904</v>
      </c>
      <c r="J1784" s="444"/>
    </row>
    <row r="1785" spans="1:10" s="506" customFormat="1" ht="15" customHeight="1">
      <c r="A1785" s="512"/>
      <c r="B1785" s="514"/>
      <c r="C1785" s="5318" t="s">
        <v>604</v>
      </c>
      <c r="D1785" s="5296"/>
      <c r="E1785" s="3755">
        <f>SUM(E1786:E1787)</f>
        <v>883763</v>
      </c>
      <c r="F1785" s="3755">
        <f>SUM(F1786:F1787)</f>
        <v>2693281</v>
      </c>
      <c r="G1785" s="3756">
        <f>SUM(G1786:G1787)</f>
        <v>669996.92000000004</v>
      </c>
      <c r="H1785" s="3705">
        <f t="shared" si="223"/>
        <v>0.24876606637034904</v>
      </c>
      <c r="J1785" s="444"/>
    </row>
    <row r="1786" spans="1:10" s="506" customFormat="1" ht="55.5" customHeight="1">
      <c r="A1786" s="512"/>
      <c r="B1786" s="514"/>
      <c r="C1786" s="3784" t="s">
        <v>309</v>
      </c>
      <c r="D1786" s="3525" t="s">
        <v>676</v>
      </c>
      <c r="E1786" s="3734">
        <v>883763</v>
      </c>
      <c r="F1786" s="3734">
        <v>625601</v>
      </c>
      <c r="G1786" s="3735">
        <v>614316.92000000004</v>
      </c>
      <c r="H1786" s="3705">
        <f t="shared" si="223"/>
        <v>0.98196281655560025</v>
      </c>
      <c r="J1786" s="444" t="s">
        <v>654</v>
      </c>
    </row>
    <row r="1787" spans="1:10" s="506" customFormat="1" ht="43.5" customHeight="1" thickBot="1">
      <c r="A1787" s="593"/>
      <c r="B1787" s="565"/>
      <c r="C1787" s="3760" t="s">
        <v>310</v>
      </c>
      <c r="D1787" s="2839" t="s">
        <v>693</v>
      </c>
      <c r="E1787" s="3416">
        <v>0</v>
      </c>
      <c r="F1787" s="3416">
        <v>2067680</v>
      </c>
      <c r="G1787" s="3721">
        <v>55680</v>
      </c>
      <c r="H1787" s="2469">
        <f t="shared" si="223"/>
        <v>2.6928731718641182E-2</v>
      </c>
      <c r="J1787" s="444"/>
    </row>
    <row r="1788" spans="1:10" s="444" customFormat="1" ht="26.25" thickBot="1">
      <c r="A1788" s="3785" t="s">
        <v>962</v>
      </c>
      <c r="B1788" s="3786"/>
      <c r="C1788" s="3787"/>
      <c r="D1788" s="3788" t="s">
        <v>963</v>
      </c>
      <c r="E1788" s="3789">
        <f>SUM(E1789,E1823)</f>
        <v>1721477</v>
      </c>
      <c r="F1788" s="3789">
        <f>SUM(F1789,F1823)</f>
        <v>2760706</v>
      </c>
      <c r="G1788" s="3790">
        <f>SUM(G1789,G1823)</f>
        <v>2560274.5100000002</v>
      </c>
      <c r="H1788" s="3791">
        <f t="shared" si="223"/>
        <v>0.92739846618944588</v>
      </c>
    </row>
    <row r="1789" spans="1:10" s="444" customFormat="1" ht="15" customHeight="1" thickBot="1">
      <c r="A1789" s="500"/>
      <c r="B1789" s="3686" t="s">
        <v>964</v>
      </c>
      <c r="C1789" s="3687"/>
      <c r="D1789" s="3688" t="s">
        <v>290</v>
      </c>
      <c r="E1789" s="3689">
        <f>SUM(E1790,E1820)</f>
        <v>1687477</v>
      </c>
      <c r="F1789" s="3689">
        <f t="shared" ref="F1789:G1789" si="224">SUM(F1790,F1820)</f>
        <v>2694346</v>
      </c>
      <c r="G1789" s="3690">
        <f t="shared" si="224"/>
        <v>2494574.5100000002</v>
      </c>
      <c r="H1789" s="3681">
        <f t="shared" si="223"/>
        <v>0.92585529475427442</v>
      </c>
      <c r="J1789" s="444" t="s">
        <v>938</v>
      </c>
    </row>
    <row r="1790" spans="1:10" s="444" customFormat="1" ht="15" customHeight="1">
      <c r="A1790" s="477"/>
      <c r="B1790" s="479"/>
      <c r="C1790" s="5249" t="s">
        <v>567</v>
      </c>
      <c r="D1790" s="5249"/>
      <c r="E1790" s="486">
        <f>SUM(E1791,E1816)</f>
        <v>1687477</v>
      </c>
      <c r="F1790" s="486">
        <f>SUM(F1791,F1816)</f>
        <v>2495546</v>
      </c>
      <c r="G1790" s="605">
        <f>SUM(G1791,G1816)</f>
        <v>2454829.5100000002</v>
      </c>
      <c r="H1790" s="3580">
        <f t="shared" si="223"/>
        <v>0.98368433601304095</v>
      </c>
    </row>
    <row r="1791" spans="1:10" s="444" customFormat="1" ht="15" customHeight="1">
      <c r="A1791" s="477"/>
      <c r="B1791" s="479"/>
      <c r="C1791" s="5364" t="s">
        <v>568</v>
      </c>
      <c r="D1791" s="5364"/>
      <c r="E1791" s="3792">
        <f>SUM(E1792,E1800)</f>
        <v>1635908</v>
      </c>
      <c r="F1791" s="3792">
        <f>SUM(F1792,F1800)</f>
        <v>2428282</v>
      </c>
      <c r="G1791" s="3793">
        <f>SUM(G1792,G1800)</f>
        <v>2387567.54</v>
      </c>
      <c r="H1791" s="3580">
        <f t="shared" si="223"/>
        <v>0.98323322414777203</v>
      </c>
    </row>
    <row r="1792" spans="1:10" s="444" customFormat="1" ht="15" customHeight="1">
      <c r="A1792" s="477"/>
      <c r="B1792" s="479"/>
      <c r="C1792" s="5242" t="s">
        <v>569</v>
      </c>
      <c r="D1792" s="5242"/>
      <c r="E1792" s="3794">
        <f>SUM(E1793:E1798)</f>
        <v>1320380</v>
      </c>
      <c r="F1792" s="3794">
        <f>SUM(F1793:F1798)</f>
        <v>1588954</v>
      </c>
      <c r="G1792" s="3795">
        <f>SUM(G1793:G1798)</f>
        <v>1586762.72</v>
      </c>
      <c r="H1792" s="3580">
        <f t="shared" si="223"/>
        <v>0.99862092924024226</v>
      </c>
    </row>
    <row r="1793" spans="1:8" s="444" customFormat="1" ht="15" customHeight="1">
      <c r="A1793" s="477"/>
      <c r="B1793" s="479"/>
      <c r="C1793" s="3796" t="s">
        <v>337</v>
      </c>
      <c r="D1793" s="3797" t="s">
        <v>571</v>
      </c>
      <c r="E1793" s="3792">
        <v>1015660</v>
      </c>
      <c r="F1793" s="3792">
        <v>1239622</v>
      </c>
      <c r="G1793" s="3793">
        <v>1237840.99</v>
      </c>
      <c r="H1793" s="3580">
        <f t="shared" si="223"/>
        <v>0.99856326364004511</v>
      </c>
    </row>
    <row r="1794" spans="1:8" s="444" customFormat="1" ht="15" customHeight="1">
      <c r="A1794" s="477"/>
      <c r="B1794" s="479"/>
      <c r="C1794" s="3796" t="s">
        <v>336</v>
      </c>
      <c r="D1794" s="3797" t="s">
        <v>572</v>
      </c>
      <c r="E1794" s="3792">
        <v>71329</v>
      </c>
      <c r="F1794" s="3792">
        <v>73223</v>
      </c>
      <c r="G1794" s="3793">
        <v>73222.55</v>
      </c>
      <c r="H1794" s="3580">
        <f t="shared" si="223"/>
        <v>0.99999385439001409</v>
      </c>
    </row>
    <row r="1795" spans="1:8" s="444" customFormat="1" ht="15" customHeight="1">
      <c r="A1795" s="477"/>
      <c r="B1795" s="479"/>
      <c r="C1795" s="3796" t="s">
        <v>315</v>
      </c>
      <c r="D1795" s="3797" t="s">
        <v>573</v>
      </c>
      <c r="E1795" s="3792">
        <v>196317</v>
      </c>
      <c r="F1795" s="3792">
        <v>225180</v>
      </c>
      <c r="G1795" s="3793">
        <v>225073.68</v>
      </c>
      <c r="H1795" s="3580">
        <f t="shared" si="223"/>
        <v>0.99952784439115372</v>
      </c>
    </row>
    <row r="1796" spans="1:8" s="444" customFormat="1" ht="15" customHeight="1">
      <c r="A1796" s="477"/>
      <c r="B1796" s="479"/>
      <c r="C1796" s="3796" t="s">
        <v>314</v>
      </c>
      <c r="D1796" s="3797" t="s">
        <v>574</v>
      </c>
      <c r="E1796" s="3792">
        <v>16933</v>
      </c>
      <c r="F1796" s="3792">
        <v>22010</v>
      </c>
      <c r="G1796" s="3793">
        <v>21718.35</v>
      </c>
      <c r="H1796" s="3580">
        <f t="shared" si="223"/>
        <v>0.98674920490686047</v>
      </c>
    </row>
    <row r="1797" spans="1:8" s="444" customFormat="1" ht="15" customHeight="1">
      <c r="A1797" s="477"/>
      <c r="B1797" s="479"/>
      <c r="C1797" s="3796" t="s">
        <v>319</v>
      </c>
      <c r="D1797" s="3797" t="s">
        <v>575</v>
      </c>
      <c r="E1797" s="3792">
        <v>16200</v>
      </c>
      <c r="F1797" s="3792">
        <v>23200</v>
      </c>
      <c r="G1797" s="3793">
        <v>23200</v>
      </c>
      <c r="H1797" s="3580">
        <f t="shared" si="223"/>
        <v>1</v>
      </c>
    </row>
    <row r="1798" spans="1:8" s="444" customFormat="1" ht="15" customHeight="1">
      <c r="A1798" s="477"/>
      <c r="B1798" s="479"/>
      <c r="C1798" s="3798" t="s">
        <v>335</v>
      </c>
      <c r="D1798" s="3799" t="s">
        <v>576</v>
      </c>
      <c r="E1798" s="3800">
        <v>3941</v>
      </c>
      <c r="F1798" s="3800">
        <v>5719</v>
      </c>
      <c r="G1798" s="3801">
        <v>5707.15</v>
      </c>
      <c r="H1798" s="3580">
        <f t="shared" si="223"/>
        <v>0.99792795943346735</v>
      </c>
    </row>
    <row r="1799" spans="1:8" s="444" customFormat="1" ht="15" customHeight="1">
      <c r="A1799" s="477"/>
      <c r="B1799" s="479"/>
      <c r="C1799" s="3802"/>
      <c r="D1799" s="3802"/>
      <c r="E1799" s="3792"/>
      <c r="F1799" s="3803"/>
      <c r="G1799" s="3804"/>
      <c r="H1799" s="3641"/>
    </row>
    <row r="1800" spans="1:8" s="444" customFormat="1" ht="15" customHeight="1">
      <c r="A1800" s="477"/>
      <c r="B1800" s="479"/>
      <c r="C1800" s="5243" t="s">
        <v>577</v>
      </c>
      <c r="D1800" s="5243"/>
      <c r="E1800" s="556">
        <f>SUM(E1801:E1814)</f>
        <v>315528</v>
      </c>
      <c r="F1800" s="556">
        <f>SUM(F1801:F1814)</f>
        <v>839328</v>
      </c>
      <c r="G1800" s="1079">
        <f>SUM(G1801:G1814)</f>
        <v>800804.82000000007</v>
      </c>
      <c r="H1800" s="3580">
        <f t="shared" ref="H1800:H1814" si="225">G1800/F1800</f>
        <v>0.95410235331122051</v>
      </c>
    </row>
    <row r="1801" spans="1:8" s="444" customFormat="1" ht="15" customHeight="1">
      <c r="A1801" s="477"/>
      <c r="B1801" s="479"/>
      <c r="C1801" s="3805" t="s">
        <v>334</v>
      </c>
      <c r="D1801" s="3806" t="s">
        <v>624</v>
      </c>
      <c r="E1801" s="3792">
        <v>16000</v>
      </c>
      <c r="F1801" s="3792">
        <v>16727</v>
      </c>
      <c r="G1801" s="3793">
        <v>16725.439999999999</v>
      </c>
      <c r="H1801" s="3580">
        <f t="shared" si="225"/>
        <v>0.99990673760985227</v>
      </c>
    </row>
    <row r="1802" spans="1:8" s="444" customFormat="1" ht="15" customHeight="1">
      <c r="A1802" s="477"/>
      <c r="B1802" s="479"/>
      <c r="C1802" s="3596" t="s">
        <v>313</v>
      </c>
      <c r="D1802" s="3597" t="s">
        <v>579</v>
      </c>
      <c r="E1802" s="3792">
        <v>61311</v>
      </c>
      <c r="F1802" s="3792">
        <v>202864</v>
      </c>
      <c r="G1802" s="3793">
        <v>202079.86</v>
      </c>
      <c r="H1802" s="3580">
        <f t="shared" si="225"/>
        <v>0.99613465178641847</v>
      </c>
    </row>
    <row r="1803" spans="1:8" s="444" customFormat="1" ht="15" customHeight="1">
      <c r="A1803" s="477"/>
      <c r="B1803" s="479"/>
      <c r="C1803" s="3796" t="s">
        <v>333</v>
      </c>
      <c r="D1803" s="3797" t="s">
        <v>580</v>
      </c>
      <c r="E1803" s="3792">
        <v>9950</v>
      </c>
      <c r="F1803" s="3792">
        <v>9371</v>
      </c>
      <c r="G1803" s="3793">
        <v>9310.2900000000009</v>
      </c>
      <c r="H1803" s="3580">
        <f t="shared" si="225"/>
        <v>0.99352150250773674</v>
      </c>
    </row>
    <row r="1804" spans="1:8" s="444" customFormat="1" ht="15" customHeight="1">
      <c r="A1804" s="477"/>
      <c r="B1804" s="479"/>
      <c r="C1804" s="3796" t="s">
        <v>331</v>
      </c>
      <c r="D1804" s="3797" t="s">
        <v>581</v>
      </c>
      <c r="E1804" s="3792">
        <v>48000</v>
      </c>
      <c r="F1804" s="3792">
        <v>116854</v>
      </c>
      <c r="G1804" s="3793">
        <v>87892.36</v>
      </c>
      <c r="H1804" s="3580">
        <f t="shared" si="225"/>
        <v>0.75215533914115051</v>
      </c>
    </row>
    <row r="1805" spans="1:8" s="444" customFormat="1" ht="15" customHeight="1">
      <c r="A1805" s="477"/>
      <c r="B1805" s="479"/>
      <c r="C1805" s="3796" t="s">
        <v>330</v>
      </c>
      <c r="D1805" s="3797" t="s">
        <v>582</v>
      </c>
      <c r="E1805" s="3792">
        <v>3500</v>
      </c>
      <c r="F1805" s="3792">
        <v>474</v>
      </c>
      <c r="G1805" s="3793">
        <v>473.55</v>
      </c>
      <c r="H1805" s="3580">
        <f t="shared" si="225"/>
        <v>0.9990506329113924</v>
      </c>
    </row>
    <row r="1806" spans="1:8" s="444" customFormat="1" ht="15" customHeight="1">
      <c r="A1806" s="477"/>
      <c r="B1806" s="479"/>
      <c r="C1806" s="3807" t="s">
        <v>329</v>
      </c>
      <c r="D1806" s="3808" t="s">
        <v>583</v>
      </c>
      <c r="E1806" s="3792">
        <v>1700</v>
      </c>
      <c r="F1806" s="3792">
        <v>2260</v>
      </c>
      <c r="G1806" s="3793">
        <v>2259.4</v>
      </c>
      <c r="H1806" s="3580">
        <f t="shared" si="225"/>
        <v>0.99973451327433638</v>
      </c>
    </row>
    <row r="1807" spans="1:8" s="444" customFormat="1" ht="15" customHeight="1">
      <c r="A1807" s="477"/>
      <c r="B1807" s="479"/>
      <c r="C1807" s="3596" t="s">
        <v>312</v>
      </c>
      <c r="D1807" s="3597" t="s">
        <v>584</v>
      </c>
      <c r="E1807" s="3792">
        <v>57529</v>
      </c>
      <c r="F1807" s="3792">
        <v>349524</v>
      </c>
      <c r="G1807" s="3793">
        <v>340816.21</v>
      </c>
      <c r="H1807" s="3580">
        <f t="shared" si="225"/>
        <v>0.97508671793639357</v>
      </c>
    </row>
    <row r="1808" spans="1:8" s="444" customFormat="1" ht="15" customHeight="1">
      <c r="A1808" s="477"/>
      <c r="B1808" s="479"/>
      <c r="C1808" s="3796" t="s">
        <v>328</v>
      </c>
      <c r="D1808" s="3797" t="s">
        <v>585</v>
      </c>
      <c r="E1808" s="3792">
        <v>3100</v>
      </c>
      <c r="F1808" s="3792">
        <v>2831</v>
      </c>
      <c r="G1808" s="3793">
        <v>2830.06</v>
      </c>
      <c r="H1808" s="3580">
        <f t="shared" si="225"/>
        <v>0.99966796185093609</v>
      </c>
    </row>
    <row r="1809" spans="1:10" s="444" customFormat="1" ht="25.5">
      <c r="A1809" s="477"/>
      <c r="B1809" s="479"/>
      <c r="C1809" s="3796" t="s">
        <v>587</v>
      </c>
      <c r="D1809" s="3797" t="s">
        <v>588</v>
      </c>
      <c r="E1809" s="3792">
        <v>68290</v>
      </c>
      <c r="F1809" s="3792">
        <v>86527</v>
      </c>
      <c r="G1809" s="3793">
        <v>86524.69</v>
      </c>
      <c r="H1809" s="3580">
        <f t="shared" si="225"/>
        <v>0.99997330313081467</v>
      </c>
    </row>
    <row r="1810" spans="1:10" s="444" customFormat="1" ht="15" customHeight="1" thickBot="1">
      <c r="A1810" s="501"/>
      <c r="B1810" s="502"/>
      <c r="C1810" s="3809" t="s">
        <v>326</v>
      </c>
      <c r="D1810" s="3810" t="s">
        <v>589</v>
      </c>
      <c r="E1810" s="503">
        <v>1200</v>
      </c>
      <c r="F1810" s="503">
        <v>1042</v>
      </c>
      <c r="G1810" s="702">
        <v>1041</v>
      </c>
      <c r="H1810" s="2245">
        <f t="shared" si="225"/>
        <v>0.99904030710172742</v>
      </c>
    </row>
    <row r="1811" spans="1:10" s="444" customFormat="1" ht="15" customHeight="1">
      <c r="A1811" s="500"/>
      <c r="B1811" s="2966"/>
      <c r="C1811" s="3811" t="s">
        <v>325</v>
      </c>
      <c r="D1811" s="3812" t="s">
        <v>592</v>
      </c>
      <c r="E1811" s="2292">
        <v>7629</v>
      </c>
      <c r="F1811" s="2292">
        <v>8345</v>
      </c>
      <c r="G1811" s="2435">
        <v>8345</v>
      </c>
      <c r="H1811" s="3631">
        <f t="shared" si="225"/>
        <v>1</v>
      </c>
    </row>
    <row r="1812" spans="1:10" s="444" customFormat="1" ht="15" customHeight="1">
      <c r="A1812" s="479"/>
      <c r="B1812" s="479"/>
      <c r="C1812" s="3807" t="s">
        <v>324</v>
      </c>
      <c r="D1812" s="3808" t="s">
        <v>593</v>
      </c>
      <c r="E1812" s="3792">
        <v>29242</v>
      </c>
      <c r="F1812" s="3792">
        <v>34832</v>
      </c>
      <c r="G1812" s="3793">
        <v>34830.879999999997</v>
      </c>
      <c r="H1812" s="3580">
        <f t="shared" si="225"/>
        <v>0.99996784565916386</v>
      </c>
    </row>
    <row r="1813" spans="1:10" s="444" customFormat="1" ht="15" customHeight="1">
      <c r="A1813" s="477"/>
      <c r="B1813" s="479"/>
      <c r="C1813" s="3596" t="s">
        <v>323</v>
      </c>
      <c r="D1813" s="3597" t="s">
        <v>594</v>
      </c>
      <c r="E1813" s="481">
        <v>2877</v>
      </c>
      <c r="F1813" s="481">
        <v>3313</v>
      </c>
      <c r="G1813" s="604">
        <v>3313</v>
      </c>
      <c r="H1813" s="3580">
        <f t="shared" si="225"/>
        <v>1</v>
      </c>
    </row>
    <row r="1814" spans="1:10" s="444" customFormat="1" ht="15" customHeight="1">
      <c r="A1814" s="477"/>
      <c r="B1814" s="479"/>
      <c r="C1814" s="3796" t="s">
        <v>322</v>
      </c>
      <c r="D1814" s="3797" t="s">
        <v>600</v>
      </c>
      <c r="E1814" s="3792">
        <v>5200</v>
      </c>
      <c r="F1814" s="3792">
        <v>4364</v>
      </c>
      <c r="G1814" s="3793">
        <v>4363.08</v>
      </c>
      <c r="H1814" s="3580">
        <f t="shared" si="225"/>
        <v>0.99978918423464713</v>
      </c>
    </row>
    <row r="1815" spans="1:10" s="444" customFormat="1" ht="15" customHeight="1">
      <c r="A1815" s="477"/>
      <c r="B1815" s="479"/>
      <c r="C1815" s="3813"/>
      <c r="D1815" s="3598"/>
      <c r="E1815" s="3792"/>
      <c r="F1815" s="3803"/>
      <c r="G1815" s="3804"/>
      <c r="H1815" s="3641"/>
    </row>
    <row r="1816" spans="1:10" s="444" customFormat="1" ht="15" customHeight="1">
      <c r="A1816" s="477"/>
      <c r="B1816" s="479"/>
      <c r="C1816" s="5309" t="s">
        <v>601</v>
      </c>
      <c r="D1816" s="5309"/>
      <c r="E1816" s="533">
        <f>SUM(E1817:E1818)</f>
        <v>51569</v>
      </c>
      <c r="F1816" s="533">
        <f>SUM(F1817:F1818)</f>
        <v>67264</v>
      </c>
      <c r="G1816" s="677">
        <f>SUM(G1817:G1818)</f>
        <v>67261.97</v>
      </c>
      <c r="H1816" s="3580">
        <f>G1816/F1816</f>
        <v>0.99996982040913418</v>
      </c>
    </row>
    <row r="1817" spans="1:10" s="444" customFormat="1" ht="15" customHeight="1">
      <c r="A1817" s="479"/>
      <c r="B1817" s="479"/>
      <c r="C1817" s="3814" t="s">
        <v>321</v>
      </c>
      <c r="D1817" s="3815" t="s">
        <v>602</v>
      </c>
      <c r="E1817" s="3792">
        <v>51569</v>
      </c>
      <c r="F1817" s="3792">
        <v>67029</v>
      </c>
      <c r="G1817" s="3793">
        <v>67027.87</v>
      </c>
      <c r="H1817" s="3580">
        <f>G1817/F1817</f>
        <v>0.99998314162526658</v>
      </c>
    </row>
    <row r="1818" spans="1:10" s="444" customFormat="1" ht="15" customHeight="1">
      <c r="A1818" s="477"/>
      <c r="B1818" s="479"/>
      <c r="C1818" s="3781" t="s">
        <v>320</v>
      </c>
      <c r="D1818" s="3693" t="s">
        <v>744</v>
      </c>
      <c r="E1818" s="481">
        <v>0</v>
      </c>
      <c r="F1818" s="481">
        <v>235</v>
      </c>
      <c r="G1818" s="604">
        <v>234.1</v>
      </c>
      <c r="H1818" s="3580">
        <f>G1818/F1818</f>
        <v>0.99617021276595741</v>
      </c>
    </row>
    <row r="1819" spans="1:10" s="506" customFormat="1" ht="15" customHeight="1">
      <c r="A1819" s="514"/>
      <c r="B1819" s="514"/>
      <c r="C1819" s="3729"/>
      <c r="D1819" s="3816"/>
      <c r="E1819" s="3734"/>
      <c r="F1819" s="3803"/>
      <c r="G1819" s="3804"/>
      <c r="H1819" s="3641"/>
      <c r="J1819" s="444"/>
    </row>
    <row r="1820" spans="1:10" s="506" customFormat="1" ht="15" customHeight="1">
      <c r="A1820" s="512"/>
      <c r="B1820" s="514"/>
      <c r="C1820" s="5308" t="s">
        <v>603</v>
      </c>
      <c r="D1820" s="5308"/>
      <c r="E1820" s="631">
        <f>SUM(E1821)</f>
        <v>0</v>
      </c>
      <c r="F1820" s="557">
        <f>SUM(F1821)</f>
        <v>198800</v>
      </c>
      <c r="G1820" s="1115">
        <f>SUM(G1821)</f>
        <v>39745</v>
      </c>
      <c r="H1820" s="3595">
        <f t="shared" ref="H1820:H1825" si="226">G1820/F1820</f>
        <v>0.19992454728370221</v>
      </c>
      <c r="J1820" s="444"/>
    </row>
    <row r="1821" spans="1:10" s="506" customFormat="1" ht="15" customHeight="1">
      <c r="A1821" s="512"/>
      <c r="B1821" s="514"/>
      <c r="C1821" s="5296" t="s">
        <v>604</v>
      </c>
      <c r="D1821" s="5296"/>
      <c r="E1821" s="3500">
        <f>SUM(E1822:E1822)</f>
        <v>0</v>
      </c>
      <c r="F1821" s="3501">
        <f>SUM(F1822:F1822)</f>
        <v>198800</v>
      </c>
      <c r="G1821" s="3502">
        <f>SUM(G1822:G1822)</f>
        <v>39745</v>
      </c>
      <c r="H1821" s="3580">
        <f t="shared" si="226"/>
        <v>0.19992454728370221</v>
      </c>
      <c r="J1821" s="444"/>
    </row>
    <row r="1822" spans="1:10" s="506" customFormat="1" ht="15" customHeight="1" thickBot="1">
      <c r="A1822" s="512"/>
      <c r="B1822" s="514"/>
      <c r="C1822" s="3619" t="s">
        <v>354</v>
      </c>
      <c r="D1822" s="3620" t="s">
        <v>605</v>
      </c>
      <c r="E1822" s="3817">
        <v>0</v>
      </c>
      <c r="F1822" s="3646">
        <v>198800</v>
      </c>
      <c r="G1822" s="3818">
        <v>39745</v>
      </c>
      <c r="H1822" s="3580">
        <f t="shared" si="226"/>
        <v>0.19992454728370221</v>
      </c>
      <c r="J1822" s="444"/>
    </row>
    <row r="1823" spans="1:10" s="444" customFormat="1" ht="15" customHeight="1" thickBot="1">
      <c r="A1823" s="479"/>
      <c r="B1823" s="3686" t="s">
        <v>965</v>
      </c>
      <c r="C1823" s="3687"/>
      <c r="D1823" s="3688" t="s">
        <v>44</v>
      </c>
      <c r="E1823" s="3689">
        <f>SUM(E1824)</f>
        <v>34000</v>
      </c>
      <c r="F1823" s="3689">
        <f>SUM(F1824)</f>
        <v>66360</v>
      </c>
      <c r="G1823" s="3690">
        <f>SUM(G1824)</f>
        <v>65700</v>
      </c>
      <c r="H1823" s="3681">
        <f t="shared" si="226"/>
        <v>0.99005424954792043</v>
      </c>
      <c r="J1823" s="444" t="s">
        <v>938</v>
      </c>
    </row>
    <row r="1824" spans="1:10" s="444" customFormat="1" ht="15" customHeight="1">
      <c r="A1824" s="477"/>
      <c r="B1824" s="479"/>
      <c r="C1824" s="5249" t="s">
        <v>567</v>
      </c>
      <c r="D1824" s="5249"/>
      <c r="E1824" s="486">
        <f>SUM(E1825,E1831)</f>
        <v>34000</v>
      </c>
      <c r="F1824" s="486">
        <f>SUM(F1825,F1831)</f>
        <v>66360</v>
      </c>
      <c r="G1824" s="605">
        <f>SUM(G1825,G1831)</f>
        <v>65700</v>
      </c>
      <c r="H1824" s="3595">
        <f t="shared" si="226"/>
        <v>0.99005424954792043</v>
      </c>
    </row>
    <row r="1825" spans="1:8" s="444" customFormat="1" ht="15" customHeight="1">
      <c r="A1825" s="477"/>
      <c r="B1825" s="479"/>
      <c r="C1825" s="5328" t="s">
        <v>568</v>
      </c>
      <c r="D1825" s="5328"/>
      <c r="E1825" s="3792">
        <f>SUM(E1826)</f>
        <v>27000</v>
      </c>
      <c r="F1825" s="3792">
        <f>SUM(F1826)</f>
        <v>59360</v>
      </c>
      <c r="G1825" s="3793">
        <f>SUM(G1826)</f>
        <v>58700</v>
      </c>
      <c r="H1825" s="3580">
        <f t="shared" si="226"/>
        <v>0.98888140161725069</v>
      </c>
    </row>
    <row r="1826" spans="1:8" s="444" customFormat="1" ht="15" customHeight="1">
      <c r="A1826" s="477"/>
      <c r="B1826" s="479"/>
      <c r="C1826" s="5259" t="s">
        <v>577</v>
      </c>
      <c r="D1826" s="5259"/>
      <c r="E1826" s="3794">
        <f>SUM(E1827:E1829)</f>
        <v>27000</v>
      </c>
      <c r="F1826" s="3794">
        <f t="shared" ref="F1826:G1826" si="227">SUM(F1827:F1829)</f>
        <v>59360</v>
      </c>
      <c r="G1826" s="3795">
        <f t="shared" si="227"/>
        <v>58700</v>
      </c>
      <c r="H1826" s="3580">
        <f>G1826/F1826</f>
        <v>0.98888140161725069</v>
      </c>
    </row>
    <row r="1827" spans="1:8" s="444" customFormat="1" ht="15" customHeight="1">
      <c r="A1827" s="477"/>
      <c r="B1827" s="479"/>
      <c r="C1827" s="3805" t="s">
        <v>334</v>
      </c>
      <c r="D1827" s="3806" t="s">
        <v>624</v>
      </c>
      <c r="E1827" s="3792">
        <v>0</v>
      </c>
      <c r="F1827" s="3792">
        <v>4360</v>
      </c>
      <c r="G1827" s="3793">
        <v>3700</v>
      </c>
      <c r="H1827" s="3580">
        <f>G1827/F1827</f>
        <v>0.84862385321100919</v>
      </c>
    </row>
    <row r="1828" spans="1:8" s="444" customFormat="1" ht="15" customHeight="1">
      <c r="A1828" s="477"/>
      <c r="B1828" s="479"/>
      <c r="C1828" s="650" t="s">
        <v>313</v>
      </c>
      <c r="D1828" s="3597" t="s">
        <v>579</v>
      </c>
      <c r="E1828" s="3792">
        <v>0</v>
      </c>
      <c r="F1828" s="3792">
        <v>615</v>
      </c>
      <c r="G1828" s="3793">
        <v>615</v>
      </c>
      <c r="H1828" s="3580">
        <f>G1828/F1828</f>
        <v>1</v>
      </c>
    </row>
    <row r="1829" spans="1:8" s="444" customFormat="1" ht="15" customHeight="1">
      <c r="A1829" s="477"/>
      <c r="B1829" s="479"/>
      <c r="C1829" s="3819" t="s">
        <v>312</v>
      </c>
      <c r="D1829" s="651" t="s">
        <v>584</v>
      </c>
      <c r="E1829" s="3792">
        <v>27000</v>
      </c>
      <c r="F1829" s="3792">
        <v>54385</v>
      </c>
      <c r="G1829" s="3793">
        <v>54385</v>
      </c>
      <c r="H1829" s="3580">
        <f>G1829/F1829</f>
        <v>1</v>
      </c>
    </row>
    <row r="1830" spans="1:8" s="444" customFormat="1" ht="15" customHeight="1">
      <c r="A1830" s="477"/>
      <c r="B1830" s="479"/>
      <c r="C1830" s="3820"/>
      <c r="D1830" s="651"/>
      <c r="E1830" s="3792"/>
      <c r="F1830" s="3803"/>
      <c r="G1830" s="3804"/>
      <c r="H1830" s="3641"/>
    </row>
    <row r="1831" spans="1:8" s="444" customFormat="1" ht="15" customHeight="1">
      <c r="A1831" s="477"/>
      <c r="B1831" s="479"/>
      <c r="C1831" s="5360" t="s">
        <v>640</v>
      </c>
      <c r="D1831" s="5361"/>
      <c r="E1831" s="3792">
        <f>SUM(E1832)</f>
        <v>7000</v>
      </c>
      <c r="F1831" s="3792">
        <f>SUM(F1832)</f>
        <v>7000</v>
      </c>
      <c r="G1831" s="3793">
        <f>SUM(G1832)</f>
        <v>7000</v>
      </c>
      <c r="H1831" s="3580">
        <f t="shared" ref="H1831:H1843" si="228">G1831/F1831</f>
        <v>1</v>
      </c>
    </row>
    <row r="1832" spans="1:8" s="444" customFormat="1" ht="55.5" customHeight="1" thickBot="1">
      <c r="A1832" s="501"/>
      <c r="B1832" s="502"/>
      <c r="C1832" s="3809" t="s">
        <v>91</v>
      </c>
      <c r="D1832" s="3810" t="s">
        <v>649</v>
      </c>
      <c r="E1832" s="503">
        <v>7000</v>
      </c>
      <c r="F1832" s="503">
        <v>7000</v>
      </c>
      <c r="G1832" s="702">
        <v>7000</v>
      </c>
      <c r="H1832" s="2245">
        <f t="shared" si="228"/>
        <v>1</v>
      </c>
    </row>
    <row r="1833" spans="1:8" s="444" customFormat="1" ht="15" customHeight="1" thickBot="1">
      <c r="A1833" s="3785" t="s">
        <v>318</v>
      </c>
      <c r="B1833" s="3786"/>
      <c r="C1833" s="3787"/>
      <c r="D1833" s="3788" t="s">
        <v>966</v>
      </c>
      <c r="E1833" s="3789">
        <f>SUM(E1834,E1838,E1860)</f>
        <v>6342665</v>
      </c>
      <c r="F1833" s="3789">
        <f>SUM(F1834,F1838,F1860)</f>
        <v>6602148</v>
      </c>
      <c r="G1833" s="3790">
        <f>SUM(G1834,G1838,G1860)</f>
        <v>6276690.1799999997</v>
      </c>
      <c r="H1833" s="3791">
        <f t="shared" si="228"/>
        <v>0.9507042526159668</v>
      </c>
    </row>
    <row r="1834" spans="1:8" s="444" customFormat="1" ht="15" customHeight="1" thickBot="1">
      <c r="A1834" s="554"/>
      <c r="B1834" s="3686" t="s">
        <v>967</v>
      </c>
      <c r="C1834" s="3687"/>
      <c r="D1834" s="3688" t="s">
        <v>317</v>
      </c>
      <c r="E1834" s="3821">
        <f>SUM(E1835)</f>
        <v>0</v>
      </c>
      <c r="F1834" s="3821">
        <f>SUM(F1835)</f>
        <v>60000</v>
      </c>
      <c r="G1834" s="3822">
        <f>SUM(G1835)</f>
        <v>60000</v>
      </c>
      <c r="H1834" s="3681">
        <f t="shared" si="228"/>
        <v>1</v>
      </c>
    </row>
    <row r="1835" spans="1:8" s="444" customFormat="1" ht="15" customHeight="1">
      <c r="A1835" s="554"/>
      <c r="B1835" s="479"/>
      <c r="C1835" s="5249" t="s">
        <v>603</v>
      </c>
      <c r="D1835" s="5362"/>
      <c r="E1835" s="652">
        <f t="shared" ref="E1835:G1836" si="229">SUM(E1836)</f>
        <v>0</v>
      </c>
      <c r="F1835" s="652">
        <f t="shared" si="229"/>
        <v>60000</v>
      </c>
      <c r="G1835" s="1117">
        <f t="shared" si="229"/>
        <v>60000</v>
      </c>
      <c r="H1835" s="3595">
        <f t="shared" si="228"/>
        <v>1</v>
      </c>
    </row>
    <row r="1836" spans="1:8" s="444" customFormat="1" ht="15" customHeight="1">
      <c r="A1836" s="554"/>
      <c r="B1836" s="479"/>
      <c r="C1836" s="5363" t="s">
        <v>604</v>
      </c>
      <c r="D1836" s="5255"/>
      <c r="E1836" s="3823">
        <f t="shared" si="229"/>
        <v>0</v>
      </c>
      <c r="F1836" s="3823">
        <f t="shared" si="229"/>
        <v>60000</v>
      </c>
      <c r="G1836" s="3824">
        <f t="shared" si="229"/>
        <v>60000</v>
      </c>
      <c r="H1836" s="3580">
        <f t="shared" si="228"/>
        <v>1</v>
      </c>
    </row>
    <row r="1837" spans="1:8" s="444" customFormat="1" ht="39" thickBot="1">
      <c r="A1837" s="3825"/>
      <c r="B1837" s="502"/>
      <c r="C1837" s="3826" t="s">
        <v>310</v>
      </c>
      <c r="D1837" s="625" t="s">
        <v>693</v>
      </c>
      <c r="E1837" s="503">
        <v>0</v>
      </c>
      <c r="F1837" s="503">
        <v>60000</v>
      </c>
      <c r="G1837" s="702">
        <v>60000</v>
      </c>
      <c r="H1837" s="2245">
        <f t="shared" si="228"/>
        <v>1</v>
      </c>
    </row>
    <row r="1838" spans="1:8" s="444" customFormat="1" ht="15" customHeight="1" thickBot="1">
      <c r="A1838" s="3827"/>
      <c r="B1838" s="3686" t="s">
        <v>316</v>
      </c>
      <c r="C1838" s="3828"/>
      <c r="D1838" s="3829" t="s">
        <v>293</v>
      </c>
      <c r="E1838" s="3689">
        <f>SUM(E1839,E1857)</f>
        <v>6342665</v>
      </c>
      <c r="F1838" s="3689">
        <f>SUM(F1839,F1857)</f>
        <v>6458162</v>
      </c>
      <c r="G1838" s="3690">
        <f>SUM(G1839,G1857)</f>
        <v>6133031.1799999997</v>
      </c>
      <c r="H1838" s="3681">
        <f t="shared" si="228"/>
        <v>0.94965582777266966</v>
      </c>
    </row>
    <row r="1839" spans="1:8" s="444" customFormat="1" ht="15" customHeight="1">
      <c r="A1839" s="1118"/>
      <c r="B1839" s="3013"/>
      <c r="C1839" s="5023" t="s">
        <v>567</v>
      </c>
      <c r="D1839" s="5024"/>
      <c r="E1839" s="486">
        <f>SUM(E1840,E1849,E1853)</f>
        <v>6092665</v>
      </c>
      <c r="F1839" s="486">
        <f>SUM(F1840,F1849,F1853)</f>
        <v>6208162</v>
      </c>
      <c r="G1839" s="605">
        <f>SUM(G1840,G1849,G1853)</f>
        <v>5883197.9299999997</v>
      </c>
      <c r="H1839" s="3595">
        <f t="shared" si="228"/>
        <v>0.94765534952212904</v>
      </c>
    </row>
    <row r="1840" spans="1:8" s="444" customFormat="1" ht="15" customHeight="1">
      <c r="A1840" s="1118"/>
      <c r="B1840" s="586"/>
      <c r="C1840" s="5350" t="s">
        <v>568</v>
      </c>
      <c r="D1840" s="5351"/>
      <c r="E1840" s="3830">
        <f>SUM(E1841,E1845)</f>
        <v>216365</v>
      </c>
      <c r="F1840" s="3830">
        <f>SUM(F1841,F1845)</f>
        <v>216365</v>
      </c>
      <c r="G1840" s="3831">
        <f>SUM(G1841,G1845)</f>
        <v>163294.49</v>
      </c>
      <c r="H1840" s="3580">
        <f t="shared" si="228"/>
        <v>0.7547176761490999</v>
      </c>
    </row>
    <row r="1841" spans="1:8" s="444" customFormat="1" ht="15" customHeight="1">
      <c r="A1841" s="1118"/>
      <c r="B1841" s="586"/>
      <c r="C1841" s="5352" t="s">
        <v>569</v>
      </c>
      <c r="D1841" s="5353"/>
      <c r="E1841" s="3832">
        <f>SUM(E1842:E1843)</f>
        <v>12437</v>
      </c>
      <c r="F1841" s="3832">
        <f>SUM(F1842:F1843)</f>
        <v>12437</v>
      </c>
      <c r="G1841" s="3833">
        <f>SUM(G1842:G1843)</f>
        <v>11237.76</v>
      </c>
      <c r="H1841" s="3585">
        <f t="shared" si="228"/>
        <v>0.90357481707807352</v>
      </c>
    </row>
    <row r="1842" spans="1:8" s="444" customFormat="1" ht="15" customHeight="1">
      <c r="A1842" s="1118"/>
      <c r="B1842" s="586"/>
      <c r="C1842" s="3796" t="s">
        <v>315</v>
      </c>
      <c r="D1842" s="3797" t="s">
        <v>573</v>
      </c>
      <c r="E1842" s="3830">
        <v>10447</v>
      </c>
      <c r="F1842" s="3830">
        <v>11247</v>
      </c>
      <c r="G1842" s="3831">
        <v>11237.76</v>
      </c>
      <c r="H1842" s="3580">
        <f t="shared" si="228"/>
        <v>0.99917844758602292</v>
      </c>
    </row>
    <row r="1843" spans="1:8" s="444" customFormat="1" ht="15" customHeight="1">
      <c r="A1843" s="1118"/>
      <c r="B1843" s="586"/>
      <c r="C1843" s="3796" t="s">
        <v>314</v>
      </c>
      <c r="D1843" s="3797" t="s">
        <v>574</v>
      </c>
      <c r="E1843" s="3830">
        <v>1990</v>
      </c>
      <c r="F1843" s="3830">
        <v>1190</v>
      </c>
      <c r="G1843" s="3831">
        <v>0</v>
      </c>
      <c r="H1843" s="3580">
        <f t="shared" si="228"/>
        <v>0</v>
      </c>
    </row>
    <row r="1844" spans="1:8" s="444" customFormat="1" ht="15" customHeight="1">
      <c r="A1844" s="1118"/>
      <c r="B1844" s="586"/>
      <c r="C1844" s="3813"/>
      <c r="D1844" s="3598"/>
      <c r="E1844" s="3830"/>
      <c r="F1844" s="3830"/>
      <c r="G1844" s="3831"/>
      <c r="H1844" s="3580"/>
    </row>
    <row r="1845" spans="1:8" s="444" customFormat="1" ht="15" customHeight="1">
      <c r="A1845" s="1118"/>
      <c r="B1845" s="586"/>
      <c r="C1845" s="5354" t="s">
        <v>577</v>
      </c>
      <c r="D1845" s="5355"/>
      <c r="E1845" s="556">
        <f>SUM(E1846:E1847)</f>
        <v>203928</v>
      </c>
      <c r="F1845" s="556">
        <f>SUM(F1846:F1847)</f>
        <v>203928</v>
      </c>
      <c r="G1845" s="1079">
        <f>SUM(G1846:G1847)</f>
        <v>152056.72999999998</v>
      </c>
      <c r="H1845" s="3580">
        <f>G1845/F1845</f>
        <v>0.7456392942607194</v>
      </c>
    </row>
    <row r="1846" spans="1:8" s="444" customFormat="1" ht="15" customHeight="1">
      <c r="A1846" s="1118"/>
      <c r="B1846" s="586"/>
      <c r="C1846" s="3796" t="s">
        <v>313</v>
      </c>
      <c r="D1846" s="3797" t="s">
        <v>579</v>
      </c>
      <c r="E1846" s="3830">
        <v>82621</v>
      </c>
      <c r="F1846" s="3830">
        <v>82621</v>
      </c>
      <c r="G1846" s="3831">
        <v>81847.23</v>
      </c>
      <c r="H1846" s="3580">
        <f>G1846/F1846</f>
        <v>0.9906347054622916</v>
      </c>
    </row>
    <row r="1847" spans="1:8" s="444" customFormat="1" ht="15" customHeight="1">
      <c r="A1847" s="1118"/>
      <c r="B1847" s="586"/>
      <c r="C1847" s="3834" t="s">
        <v>312</v>
      </c>
      <c r="D1847" s="3669" t="s">
        <v>584</v>
      </c>
      <c r="E1847" s="3830">
        <v>121307</v>
      </c>
      <c r="F1847" s="3830">
        <v>121307</v>
      </c>
      <c r="G1847" s="3831">
        <v>70209.5</v>
      </c>
      <c r="H1847" s="3580">
        <f>G1847/F1847</f>
        <v>0.578775338603708</v>
      </c>
    </row>
    <row r="1848" spans="1:8" s="444" customFormat="1" ht="15" customHeight="1">
      <c r="A1848" s="1119"/>
      <c r="B1848" s="586"/>
      <c r="C1848" s="3835"/>
      <c r="D1848" s="3802"/>
      <c r="E1848" s="3830"/>
      <c r="F1848" s="3830"/>
      <c r="G1848" s="3831"/>
      <c r="H1848" s="3580"/>
    </row>
    <row r="1849" spans="1:8" s="444" customFormat="1" ht="15" customHeight="1">
      <c r="A1849" s="1118"/>
      <c r="B1849" s="586"/>
      <c r="C1849" s="5356" t="s">
        <v>640</v>
      </c>
      <c r="D1849" s="5357"/>
      <c r="E1849" s="481">
        <f>SUM(E1850:E1851)</f>
        <v>4625857</v>
      </c>
      <c r="F1849" s="481">
        <f>SUM(F1850:F1851)</f>
        <v>4741354</v>
      </c>
      <c r="G1849" s="604">
        <f>SUM(G1850:G1851)</f>
        <v>4527803.4399999995</v>
      </c>
      <c r="H1849" s="3580">
        <f>G1849/F1849</f>
        <v>0.95496000509559076</v>
      </c>
    </row>
    <row r="1850" spans="1:8" s="444" customFormat="1" ht="54.75" customHeight="1">
      <c r="A1850" s="1118"/>
      <c r="B1850" s="586"/>
      <c r="C1850" s="3796" t="s">
        <v>91</v>
      </c>
      <c r="D1850" s="3797" t="s">
        <v>649</v>
      </c>
      <c r="E1850" s="3830">
        <v>1215000</v>
      </c>
      <c r="F1850" s="3830">
        <v>1518197</v>
      </c>
      <c r="G1850" s="3831">
        <v>1516055.02</v>
      </c>
      <c r="H1850" s="3580">
        <f>G1850/F1850</f>
        <v>0.99858912907876907</v>
      </c>
    </row>
    <row r="1851" spans="1:8" s="444" customFormat="1" ht="27.75" customHeight="1">
      <c r="A1851" s="1118"/>
      <c r="B1851" s="586"/>
      <c r="C1851" s="3834" t="s">
        <v>968</v>
      </c>
      <c r="D1851" s="3669" t="s">
        <v>969</v>
      </c>
      <c r="E1851" s="3830">
        <v>3410857</v>
      </c>
      <c r="F1851" s="3830">
        <v>3223157</v>
      </c>
      <c r="G1851" s="3831">
        <v>3011748.42</v>
      </c>
      <c r="H1851" s="3580">
        <f>G1851/F1851</f>
        <v>0.93440946872895114</v>
      </c>
    </row>
    <row r="1852" spans="1:8" ht="15" customHeight="1">
      <c r="A1852" s="653"/>
      <c r="B1852" s="623"/>
      <c r="C1852" s="5358"/>
      <c r="D1852" s="5359"/>
      <c r="E1852" s="3836"/>
      <c r="F1852" s="3836"/>
      <c r="G1852" s="3837"/>
      <c r="H1852" s="3641"/>
    </row>
    <row r="1853" spans="1:8" s="444" customFormat="1" ht="15" customHeight="1">
      <c r="A1853" s="1118"/>
      <c r="B1853" s="586"/>
      <c r="C1853" s="5323" t="s">
        <v>601</v>
      </c>
      <c r="D1853" s="5324"/>
      <c r="E1853" s="3830">
        <f>SUM(E1854:E1855)</f>
        <v>1250443</v>
      </c>
      <c r="F1853" s="3830">
        <f>SUM(F1854:F1855)</f>
        <v>1250443</v>
      </c>
      <c r="G1853" s="3831">
        <f>SUM(G1854:G1855)</f>
        <v>1192100</v>
      </c>
      <c r="H1853" s="3580">
        <f>G1853/F1853</f>
        <v>0.95334213554716207</v>
      </c>
    </row>
    <row r="1854" spans="1:8" s="444" customFormat="1" ht="15" customHeight="1">
      <c r="A1854" s="1118"/>
      <c r="B1854" s="586"/>
      <c r="C1854" s="3834" t="s">
        <v>848</v>
      </c>
      <c r="D1854" s="3669" t="s">
        <v>849</v>
      </c>
      <c r="E1854" s="3830">
        <v>222357</v>
      </c>
      <c r="F1854" s="3830">
        <v>222357</v>
      </c>
      <c r="G1854" s="3831">
        <v>176500</v>
      </c>
      <c r="H1854" s="3580">
        <f>G1854/F1854</f>
        <v>0.79376857935662026</v>
      </c>
    </row>
    <row r="1855" spans="1:8" s="444" customFormat="1" ht="15" customHeight="1">
      <c r="A1855" s="1118"/>
      <c r="B1855" s="586"/>
      <c r="C1855" s="3814" t="s">
        <v>716</v>
      </c>
      <c r="D1855" s="3815" t="s">
        <v>717</v>
      </c>
      <c r="E1855" s="3830">
        <v>1028086</v>
      </c>
      <c r="F1855" s="3830">
        <v>1028086</v>
      </c>
      <c r="G1855" s="3831">
        <v>1015600</v>
      </c>
      <c r="H1855" s="3580">
        <f>G1855/F1855</f>
        <v>0.98785510161601264</v>
      </c>
    </row>
    <row r="1856" spans="1:8" s="444" customFormat="1" ht="15" customHeight="1">
      <c r="A1856" s="639"/>
      <c r="B1856" s="586"/>
      <c r="C1856" s="643"/>
      <c r="D1856" s="640"/>
      <c r="E1856" s="481"/>
      <c r="F1856" s="481"/>
      <c r="G1856" s="604"/>
      <c r="H1856" s="3580"/>
    </row>
    <row r="1857" spans="1:8" s="444" customFormat="1" ht="15" customHeight="1">
      <c r="A1857" s="639"/>
      <c r="B1857" s="586"/>
      <c r="C1857" s="5325" t="s">
        <v>603</v>
      </c>
      <c r="D1857" s="5326"/>
      <c r="E1857" s="3838">
        <f>SUM(E1858)</f>
        <v>250000</v>
      </c>
      <c r="F1857" s="3838">
        <f>SUM(F1858)</f>
        <v>250000</v>
      </c>
      <c r="G1857" s="3839">
        <f>SUM(G1858)</f>
        <v>249833.25</v>
      </c>
      <c r="H1857" s="3595">
        <f t="shared" ref="H1857:H1863" si="230">G1857/F1857</f>
        <v>0.99933300000000003</v>
      </c>
    </row>
    <row r="1858" spans="1:8" s="444" customFormat="1" ht="15" customHeight="1">
      <c r="A1858" s="639"/>
      <c r="B1858" s="586"/>
      <c r="C1858" s="5316" t="s">
        <v>604</v>
      </c>
      <c r="D1858" s="5327"/>
      <c r="E1858" s="3840">
        <f>SUM(E1859:E1859)</f>
        <v>250000</v>
      </c>
      <c r="F1858" s="3840">
        <f>SUM(F1859:F1859)</f>
        <v>250000</v>
      </c>
      <c r="G1858" s="3841">
        <f>SUM(G1859:G1859)</f>
        <v>249833.25</v>
      </c>
      <c r="H1858" s="3580">
        <f t="shared" si="230"/>
        <v>0.99933300000000003</v>
      </c>
    </row>
    <row r="1859" spans="1:8" s="444" customFormat="1" ht="51.75" thickBot="1">
      <c r="A1859" s="639"/>
      <c r="B1859" s="586"/>
      <c r="C1859" s="3842" t="s">
        <v>970</v>
      </c>
      <c r="D1859" s="3590" t="s">
        <v>971</v>
      </c>
      <c r="E1859" s="655">
        <v>250000</v>
      </c>
      <c r="F1859" s="655">
        <v>250000</v>
      </c>
      <c r="G1859" s="1120">
        <v>249833.25</v>
      </c>
      <c r="H1859" s="3580">
        <f t="shared" si="230"/>
        <v>0.99933300000000003</v>
      </c>
    </row>
    <row r="1860" spans="1:8" s="444" customFormat="1" ht="15" customHeight="1" thickBot="1">
      <c r="A1860" s="639"/>
      <c r="B1860" s="3686" t="s">
        <v>311</v>
      </c>
      <c r="C1860" s="3828"/>
      <c r="D1860" s="3829" t="s">
        <v>44</v>
      </c>
      <c r="E1860" s="3821">
        <f>SUM(E1861,E1865)</f>
        <v>0</v>
      </c>
      <c r="F1860" s="3821">
        <f>SUM(F1861,F1865)</f>
        <v>83986</v>
      </c>
      <c r="G1860" s="3822">
        <f>SUM(G1861,G1865)</f>
        <v>83659</v>
      </c>
      <c r="H1860" s="3681">
        <f t="shared" si="230"/>
        <v>0.99610649393946615</v>
      </c>
    </row>
    <row r="1861" spans="1:8" s="444" customFormat="1" ht="15" customHeight="1">
      <c r="A1861" s="477"/>
      <c r="B1861" s="3683"/>
      <c r="C1861" s="5249" t="s">
        <v>567</v>
      </c>
      <c r="D1861" s="5249"/>
      <c r="E1861" s="486">
        <f t="shared" ref="E1861:G1862" si="231">SUM(E1862)</f>
        <v>0</v>
      </c>
      <c r="F1861" s="486">
        <f t="shared" si="231"/>
        <v>35986</v>
      </c>
      <c r="G1861" s="605">
        <f t="shared" si="231"/>
        <v>35659</v>
      </c>
      <c r="H1861" s="3595">
        <f t="shared" si="230"/>
        <v>0.99091313288501082</v>
      </c>
    </row>
    <row r="1862" spans="1:8" s="444" customFormat="1" ht="15" customHeight="1">
      <c r="A1862" s="477"/>
      <c r="B1862" s="494"/>
      <c r="C1862" s="5328" t="s">
        <v>640</v>
      </c>
      <c r="D1862" s="5328"/>
      <c r="E1862" s="3830">
        <f t="shared" si="231"/>
        <v>0</v>
      </c>
      <c r="F1862" s="3830">
        <f t="shared" si="231"/>
        <v>35986</v>
      </c>
      <c r="G1862" s="3831">
        <f t="shared" si="231"/>
        <v>35659</v>
      </c>
      <c r="H1862" s="3580">
        <f t="shared" si="230"/>
        <v>0.99091313288501082</v>
      </c>
    </row>
    <row r="1863" spans="1:8" s="444" customFormat="1" ht="30" customHeight="1" thickBot="1">
      <c r="A1863" s="501"/>
      <c r="B1863" s="598"/>
      <c r="C1863" s="3809" t="s">
        <v>78</v>
      </c>
      <c r="D1863" s="3810" t="s">
        <v>702</v>
      </c>
      <c r="E1863" s="503">
        <v>0</v>
      </c>
      <c r="F1863" s="503">
        <v>35986</v>
      </c>
      <c r="G1863" s="702">
        <v>35659</v>
      </c>
      <c r="H1863" s="2245">
        <f t="shared" si="230"/>
        <v>0.99091313288501082</v>
      </c>
    </row>
    <row r="1864" spans="1:8" s="444" customFormat="1" ht="15" customHeight="1">
      <c r="A1864" s="477"/>
      <c r="B1864" s="494"/>
      <c r="C1864" s="3682"/>
      <c r="D1864" s="3590"/>
      <c r="E1864" s="481"/>
      <c r="F1864" s="481"/>
      <c r="G1864" s="604"/>
      <c r="H1864" s="3580"/>
    </row>
    <row r="1865" spans="1:8" s="444" customFormat="1" ht="15" customHeight="1">
      <c r="A1865" s="639"/>
      <c r="B1865" s="494"/>
      <c r="C1865" s="5348" t="s">
        <v>603</v>
      </c>
      <c r="D1865" s="5349"/>
      <c r="E1865" s="529">
        <f t="shared" ref="E1865:G1866" si="232">SUM(E1866)</f>
        <v>0</v>
      </c>
      <c r="F1865" s="529">
        <f t="shared" si="232"/>
        <v>48000</v>
      </c>
      <c r="G1865" s="700">
        <f t="shared" si="232"/>
        <v>48000</v>
      </c>
      <c r="H1865" s="1122">
        <f>G1865/F1865</f>
        <v>1</v>
      </c>
    </row>
    <row r="1866" spans="1:8" s="444" customFormat="1" ht="15" customHeight="1">
      <c r="A1866" s="639"/>
      <c r="B1866" s="494"/>
      <c r="C1866" s="5321" t="s">
        <v>604</v>
      </c>
      <c r="D1866" s="5322"/>
      <c r="E1866" s="641">
        <f t="shared" si="232"/>
        <v>0</v>
      </c>
      <c r="F1866" s="641">
        <f t="shared" si="232"/>
        <v>48000</v>
      </c>
      <c r="G1866" s="1123">
        <f t="shared" si="232"/>
        <v>48000</v>
      </c>
      <c r="H1866" s="1114">
        <f>G1866/F1866</f>
        <v>1</v>
      </c>
    </row>
    <row r="1867" spans="1:8" s="444" customFormat="1" ht="44.25" customHeight="1" thickBot="1">
      <c r="A1867" s="501"/>
      <c r="B1867" s="598"/>
      <c r="C1867" s="657" t="s">
        <v>310</v>
      </c>
      <c r="D1867" s="625" t="s">
        <v>693</v>
      </c>
      <c r="E1867" s="503">
        <v>0</v>
      </c>
      <c r="F1867" s="503">
        <v>48000</v>
      </c>
      <c r="G1867" s="702">
        <v>48000</v>
      </c>
      <c r="H1867" s="701">
        <f>G1867/F1867</f>
        <v>1</v>
      </c>
    </row>
    <row r="1868" spans="1:8" s="444" customFormat="1" ht="15.75" customHeight="1" thickBot="1">
      <c r="A1868" s="5335" t="s">
        <v>972</v>
      </c>
      <c r="B1868" s="5336"/>
      <c r="C1868" s="5336"/>
      <c r="D1868" s="5337"/>
      <c r="E1868" s="649">
        <f>SUM(E6,E116,E142,E170,E320,E343,E375,E392,E425,E463,E776,E809,E818,E828,E1103,E1206,E1355,E1456,E1508,E1557,E1666,E1788,E1833)</f>
        <v>2057777047</v>
      </c>
      <c r="F1868" s="649">
        <f>SUM(F6,F116,F142,F170,F320,F343,F375,F392,F425,F463,F776,F809,F818,F828,F1103,F1206,F1355,F1456,F1508,F1557,F1666,F1788,F1833)</f>
        <v>2342832352</v>
      </c>
      <c r="G1868" s="658">
        <f>SUM(G6,G116,G142,G170,G320,G343,G375,G392,G425,G463,G776,G809,G818,G828,G1103,G1206,G1355,G1456,G1508,G1557,G1666,G1788,G1833)</f>
        <v>2181540216.0999999</v>
      </c>
      <c r="H1868" s="659">
        <f>G1868/F1868</f>
        <v>0.93115506717230101</v>
      </c>
    </row>
    <row r="1869" spans="1:8" s="444" customFormat="1" ht="11.25" customHeight="1" thickBot="1">
      <c r="A1869" s="1326"/>
      <c r="B1869" s="1327"/>
      <c r="C1869" s="1327"/>
      <c r="D1869" s="1327"/>
      <c r="E1869" s="660"/>
      <c r="F1869" s="660"/>
      <c r="G1869" s="1121"/>
      <c r="H1869" s="701"/>
    </row>
    <row r="1870" spans="1:8" s="444" customFormat="1" ht="17.100000000000001" customHeight="1" thickBot="1">
      <c r="A1870" s="5338" t="s">
        <v>295</v>
      </c>
      <c r="B1870" s="5339"/>
      <c r="C1870" s="5339"/>
      <c r="D1870" s="5340"/>
      <c r="E1870" s="4286"/>
      <c r="F1870" s="4286"/>
      <c r="G1870" s="4287"/>
      <c r="H1870" s="4288"/>
    </row>
    <row r="1871" spans="1:8" s="444" customFormat="1" ht="17.25" customHeight="1" thickBot="1">
      <c r="A1871" s="5341" t="s">
        <v>973</v>
      </c>
      <c r="B1871" s="5342"/>
      <c r="C1871" s="5342"/>
      <c r="D1871" s="5343"/>
      <c r="E1871" s="4289">
        <f>E1872+E1875+E1876+E1877+E1878+E1879</f>
        <v>912624235</v>
      </c>
      <c r="F1871" s="4289">
        <f t="shared" ref="F1871:G1871" si="233">F1872+F1875+F1876+F1877+F1878+F1879</f>
        <v>951218241</v>
      </c>
      <c r="G1871" s="4290">
        <f t="shared" si="233"/>
        <v>892912079.16999996</v>
      </c>
      <c r="H1871" s="4291">
        <f t="shared" ref="H1871:H1883" si="234">G1871/F1871</f>
        <v>0.93870369667353759</v>
      </c>
    </row>
    <row r="1872" spans="1:8" s="444" customFormat="1" ht="17.100000000000001" customHeight="1">
      <c r="A1872" s="4292" t="s">
        <v>974</v>
      </c>
      <c r="B1872" s="4293"/>
      <c r="C1872" s="4293"/>
      <c r="D1872" s="4293"/>
      <c r="E1872" s="4294">
        <f>E1873+E1874</f>
        <v>433407048</v>
      </c>
      <c r="F1872" s="4294">
        <f t="shared" ref="F1872:G1872" si="235">F1873+F1874</f>
        <v>449714340</v>
      </c>
      <c r="G1872" s="4295">
        <f t="shared" si="235"/>
        <v>406460505.87999988</v>
      </c>
      <c r="H1872" s="4296">
        <f t="shared" si="234"/>
        <v>0.90381931312219188</v>
      </c>
    </row>
    <row r="1873" spans="1:139" s="444" customFormat="1" ht="19.5" customHeight="1">
      <c r="A1873" s="4297" t="s">
        <v>975</v>
      </c>
      <c r="B1873" s="4298"/>
      <c r="C1873" s="4298"/>
      <c r="D1873" s="4298"/>
      <c r="E1873" s="4299">
        <f>E10+E383+E467+E477+E492+E596+E607+E643+E662+E836+E867+E886+E927+E995+E1047+E1181+E1195+E1214+E1369+E1460+E1483+E1522+E1608+E1767+E1792+E1841+E99+E334+E1619+E1630+E1640+E1650+E311+E1561</f>
        <v>199679204</v>
      </c>
      <c r="F1873" s="4299">
        <f>F10+F383+F467+F477+F492+F596+F607+F643+F662+F836+F867+F886+F927+F995+F1047+F1181+F1195+F1214+F1369+F1460+F1483+F1522+F1608+F1767+F1792+F1841+F99+F334+F1619+F1630+F1640+F1650+F311+F1561</f>
        <v>208005727</v>
      </c>
      <c r="G1873" s="4300">
        <f>G10+G383+G467+G477+G492+G596+G607+G643+G662+G836+G867+G886+G927+G995+G1047+G1181+G1195+G1214+G1369+G1460+G1483+G1522+G1608+G1767+G1792+G1841+G99+G334+G1619+G1630+G1640+G1650+G311+G1561</f>
        <v>203648224.15999997</v>
      </c>
      <c r="H1873" s="4296">
        <f t="shared" si="234"/>
        <v>0.97905104391668973</v>
      </c>
    </row>
    <row r="1874" spans="1:139" s="444" customFormat="1" ht="18.75" customHeight="1">
      <c r="A1874" s="4816" t="s">
        <v>976</v>
      </c>
      <c r="B1874" s="4817"/>
      <c r="C1874" s="4817"/>
      <c r="D1874" s="4818"/>
      <c r="E1874" s="4299">
        <f>E18+E83+E106+E174+E235+E244+E324+E341+E347+E388+E396+E480+E500+E601+E612+E649+E666+E822+E846+E874+E896+E937+E1003+E1053+E1149+E1165+E1187+E1198+E1222+E1489+E1377+E1469+E1512+E1530+E1552+E1568+E1613+E1624+E1635+E1645+E1656+E1670+E1772+E1800+E1826+E1845+E1041+E197+E1107+E1579+E438+E223+E429+E807+E1296+E1301+E318</f>
        <v>233727844</v>
      </c>
      <c r="F1874" s="4299">
        <f>F18+F83+F106+F174+F235+F244+F324+F341+F347+F388+F396+F480+F500+F601+F612+F649+F666+F822+F846+F874+F896+F937+F1003+F1053+F1149+F1165+F1187+F1198+F1222+F1489+F1377+F1469+F1512+F1530+F1552+F1568+F1613+F1624+F1635+F1645+F1656+F1670+F1772+F1800+F1826+F1845+F1041+F197+F1107+F1579+F438+F223+F429+F807+F1296+F1301+F318</f>
        <v>241708613</v>
      </c>
      <c r="G1874" s="4300">
        <f>G18+G83+G106+G174+G235+G244+G324+G341+G347+G388+G396+G480+G500+G601+G612+G649+G666+G822+G846+G874+G896+G937+G1003+G1053+G1149+G1165+G1187+G1198+G1222+G1489+G1377+G1469+G1512+G1530+G1552+G1568+G1613+G1624+G1635+G1645+G1656+G1670+G1772+G1800+G1826+G1845+G1041+G197+G1107+G1579+G438+G223+G429+G807+G1296+G1301+G318</f>
        <v>202812281.71999994</v>
      </c>
      <c r="H1874" s="4296">
        <f t="shared" si="234"/>
        <v>0.83907759513724878</v>
      </c>
    </row>
    <row r="1875" spans="1:139" s="444" customFormat="1" ht="17.100000000000001" customHeight="1">
      <c r="A1875" s="4301" t="s">
        <v>977</v>
      </c>
      <c r="B1875" s="4302"/>
      <c r="C1875" s="4302"/>
      <c r="D1875" s="4302"/>
      <c r="E1875" s="4303">
        <f>E87+E114+E145+E179+E226+E238+E329+E621+E679+E802+E1059+E1110+E1128+E1152+E1160+E1170+E1209+E1244+E1305+E1358+E1449+E1517+E1555+E1574+E1673+E1682+E1691+E1700+E1717+E1726+E1735+E1745+E1754+E1849+E357+E794+E1660+E1777+E1831+E779+E441+E373+E1201+E296+E1502+E1136+E1862+E378+E288+E1190</f>
        <v>320461814</v>
      </c>
      <c r="F1875" s="4303">
        <f>F87+F114+F145+F179+F226+F238+F329+F621+F679+F802+F1059+F1110+F1128+F1152+F1160+F1170+F1209+F1244+F1305+F1358+F1449+F1517+F1555+F1574+F1673+F1682+F1691+F1700+F1717+F1726+F1735+F1745+F1754+F1849+F357+F794+F1660+F1777+F1831+F779+F441+F373+F1201+F296+F1502+F1136+F1862+F378+F288+F1190</f>
        <v>354544312</v>
      </c>
      <c r="G1875" s="4304">
        <f>G87+G114+G145+G179+G226+G238+G329+G621+G679+G802+G1059+G1110+G1128+G1152+G1160+G1170+G1209+G1244+G1305+G1358+G1449+G1517+G1555+G1574+G1673+G1682+G1691+G1700+G1717+G1726+G1735+G1745+G1754+G1849+G357+G794+G1660+G1777+G1831+G779+G441+G373+G1201+G296+G1502+G1136+G1862+G378+G288+G1190</f>
        <v>347414205.45999998</v>
      </c>
      <c r="H1875" s="4296">
        <f t="shared" si="234"/>
        <v>0.97988937828454004</v>
      </c>
    </row>
    <row r="1876" spans="1:139" s="444" customFormat="1" ht="17.100000000000001" customHeight="1">
      <c r="A1876" s="4301" t="s">
        <v>978</v>
      </c>
      <c r="B1876" s="4302"/>
      <c r="C1876" s="4302"/>
      <c r="D1876" s="4302"/>
      <c r="E1876" s="4303">
        <f>E39+E488+E524+E682+E861+E880+E915+E953+E1019+E1065+E1247+E1398+E1477+E1547+E1677+E1816+E1853+E657+E432+E1497+E1204+E1781</f>
        <v>4920239</v>
      </c>
      <c r="F1876" s="4303">
        <f>F39+F488+F524+F682+F861+F880+F915+F953+F1019+F1065+F1247+F1398+F1477+F1547+F1677+F1816+F1853+F657+F432+F1497+F1204+F1781</f>
        <v>6607856</v>
      </c>
      <c r="G1876" s="4304">
        <f>G39+G488+G524+G682+G861+G880+G915+G953+G1019+G1065+G1247+G1398+G1477+G1547+G1677+G1816+G1853+G657+G432+G1497+G1204+G1781</f>
        <v>6108356.5900000008</v>
      </c>
      <c r="H1876" s="4296">
        <f t="shared" si="234"/>
        <v>0.92440824830323187</v>
      </c>
    </row>
    <row r="1877" spans="1:139" s="444" customFormat="1" ht="15.75" customHeight="1">
      <c r="A1877" s="4819" t="s">
        <v>979</v>
      </c>
      <c r="B1877" s="4820"/>
      <c r="C1877" s="4820"/>
      <c r="D1877" s="4821"/>
      <c r="E1877" s="4303">
        <f>E47+E119+E149+E445+E528+E625+E685+E957+E1023+E1256+E1313+E1402+E1070+E408+E1584</f>
        <v>125248109</v>
      </c>
      <c r="F1877" s="4303">
        <f>F47+F119+F149+F445+F528+F625+F685+F957+F1023+F1256+F1313+F1402+F1070+F408+F1584</f>
        <v>127850441</v>
      </c>
      <c r="G1877" s="4304">
        <f>G47+G119+G149+G445+G528+G625+G685+G957+G1023+G1256+G1313+G1402+G1070+G408+G1584</f>
        <v>120504289.03999998</v>
      </c>
      <c r="H1877" s="4296">
        <f t="shared" si="234"/>
        <v>0.94254105107075836</v>
      </c>
    </row>
    <row r="1878" spans="1:139" s="444" customFormat="1" ht="17.100000000000001" customHeight="1">
      <c r="A1878" s="4301" t="s">
        <v>980</v>
      </c>
      <c r="B1878" s="4302"/>
      <c r="C1878" s="4302"/>
      <c r="D1878" s="4302"/>
      <c r="E1878" s="4303">
        <f>E817</f>
        <v>16085733</v>
      </c>
      <c r="F1878" s="4303">
        <f>F817</f>
        <v>0</v>
      </c>
      <c r="G1878" s="4304">
        <f>G817</f>
        <v>0</v>
      </c>
      <c r="H1878" s="4296"/>
    </row>
    <row r="1879" spans="1:139" s="444" customFormat="1" ht="17.100000000000001" customHeight="1" thickBot="1">
      <c r="A1879" s="4305" t="s">
        <v>981</v>
      </c>
      <c r="B1879" s="1330"/>
      <c r="C1879" s="1330"/>
      <c r="D1879" s="1330"/>
      <c r="E1879" s="4306">
        <f>E813</f>
        <v>12501292</v>
      </c>
      <c r="F1879" s="4306">
        <f>F813</f>
        <v>12501292</v>
      </c>
      <c r="G1879" s="4307">
        <f>G813</f>
        <v>12424722.199999999</v>
      </c>
      <c r="H1879" s="701">
        <f t="shared" si="234"/>
        <v>0.99387504907492752</v>
      </c>
    </row>
    <row r="1880" spans="1:139" s="444" customFormat="1" ht="15.75" customHeight="1" thickBot="1">
      <c r="A1880" s="4308" t="s">
        <v>982</v>
      </c>
      <c r="B1880" s="4309"/>
      <c r="C1880" s="4309"/>
      <c r="D1880" s="4309"/>
      <c r="E1880" s="4289">
        <f>E1881+E1883+E1884</f>
        <v>1145152812</v>
      </c>
      <c r="F1880" s="4289">
        <f t="shared" ref="F1880:G1880" si="236">F1881+F1883+F1884</f>
        <v>1391614111</v>
      </c>
      <c r="G1880" s="4290">
        <f t="shared" si="236"/>
        <v>1288628136.9299998</v>
      </c>
      <c r="H1880" s="4291">
        <f t="shared" si="234"/>
        <v>0.92599530771070182</v>
      </c>
    </row>
    <row r="1881" spans="1:139" s="444" customFormat="1" ht="17.100000000000001" customHeight="1">
      <c r="A1881" s="4310" t="s">
        <v>983</v>
      </c>
      <c r="B1881" s="4311"/>
      <c r="C1881" s="4311"/>
      <c r="D1881" s="4312"/>
      <c r="E1881" s="4294">
        <f>E43+E92+E168+E185+E262+E284+E413+E574+E638+E743+E782+E786+E790+E826+E921+E990+E1099+E1114+E1132+E1140+E1144+E1351+E1444+E1687+E1706+E1722+E1731+E1750+E1785+E460+E1741+E1036+E203+E292+E300+E305+E361+E798+E831+E1364+E1506+E1836+E1866+E1664+E1156+E1858+E1761+E1251+E1176+E1119+E1284+E1603+E1821+E1696</f>
        <v>1145152812</v>
      </c>
      <c r="F1881" s="4294">
        <f>F43+F92+F168+F185+F262+F284+F413+F574+F638+F743+F782+F786+F790+F826+F921+F990+F1099+F1114+F1132+F1140+F1144+F1351+F1444+F1687+F1706+F1722+F1731+F1750+F1785+F460+F1741+F1036+F203+F292+F300+F305+F361+F798+F831+F1364+F1506+F1836+F1866+F1664+F1156+F1858+F1761+F1251+F1176+F1119+F1284+F1603+F1821+F1696</f>
        <v>1387614111</v>
      </c>
      <c r="G1881" s="4295">
        <f>G43+G92+G168+G185+G262+G284+G413+G574+G638+G743+G782+G786+G790+G826+G921+G990+G1099+G1114+G1132+G1140+G1144+G1351+G1444+G1687+G1706+G1722+G1731+G1750+G1785+G460+G1741+G1036+G203+G292+G300+G305+G361+G798+G831+G1364+G1506+G1836+G1866+G1664+G1156+G1858+G1761+G1251+G1176+G1119+G1284+G1603+G1821+G1696</f>
        <v>1284628136.9299998</v>
      </c>
      <c r="H1881" s="4296">
        <f t="shared" si="234"/>
        <v>0.92578197839471221</v>
      </c>
    </row>
    <row r="1882" spans="1:139" s="444" customFormat="1" ht="18" customHeight="1">
      <c r="A1882" s="4816" t="s">
        <v>984</v>
      </c>
      <c r="B1882" s="4817"/>
      <c r="C1882" s="4817"/>
      <c r="D1882" s="4818"/>
      <c r="E1882" s="4299">
        <f>E190+E274+E420+E585+E760+E212+E1712+E1289+E369</f>
        <v>602628361</v>
      </c>
      <c r="F1882" s="4299">
        <f>F190+F274+F420+F585+F760+F212+F1712+F1289+F369</f>
        <v>919267983</v>
      </c>
      <c r="G1882" s="4300">
        <f>G190+G274+G420+G585+G760+G212+G1712+G1289+G369</f>
        <v>896824018.13999999</v>
      </c>
      <c r="H1882" s="4296">
        <f t="shared" si="234"/>
        <v>0.97558495969069337</v>
      </c>
    </row>
    <row r="1883" spans="1:139" s="444" customFormat="1" ht="17.100000000000001" customHeight="1">
      <c r="A1883" s="4301" t="s">
        <v>985</v>
      </c>
      <c r="B1883" s="4302"/>
      <c r="C1883" s="4302"/>
      <c r="D1883" s="4313"/>
      <c r="E1883" s="4303">
        <f>E1124</f>
        <v>0</v>
      </c>
      <c r="F1883" s="4303">
        <f t="shared" ref="F1883:G1883" si="237">F1124</f>
        <v>4000000</v>
      </c>
      <c r="G1883" s="4304">
        <f t="shared" si="237"/>
        <v>4000000</v>
      </c>
      <c r="H1883" s="4296">
        <f t="shared" si="234"/>
        <v>1</v>
      </c>
    </row>
    <row r="1884" spans="1:139" s="444" customFormat="1" ht="17.100000000000001" customHeight="1" thickBot="1">
      <c r="A1884" s="4314" t="s">
        <v>986</v>
      </c>
      <c r="B1884" s="4315"/>
      <c r="C1884" s="4315"/>
      <c r="D1884" s="4316"/>
      <c r="E1884" s="661">
        <v>0</v>
      </c>
      <c r="F1884" s="661">
        <v>0</v>
      </c>
      <c r="G1884" s="1188">
        <v>0</v>
      </c>
      <c r="H1884" s="2245"/>
    </row>
    <row r="1885" spans="1:139" ht="17.100000000000001" hidden="1" customHeight="1">
      <c r="A1885" s="662"/>
      <c r="B1885" s="662"/>
      <c r="C1885" s="662"/>
      <c r="D1885" s="662"/>
      <c r="E1885" s="663">
        <f>E1868</f>
        <v>2057777047</v>
      </c>
      <c r="F1885" s="663">
        <f>F1868</f>
        <v>2342832352</v>
      </c>
      <c r="G1885" s="664">
        <f>G1868</f>
        <v>2181540216.0999999</v>
      </c>
    </row>
    <row r="1886" spans="1:139" s="665" customFormat="1" ht="17.100000000000001" hidden="1" customHeight="1">
      <c r="A1886" s="662"/>
      <c r="B1886" s="662"/>
      <c r="C1886" s="662"/>
      <c r="D1886" s="662"/>
      <c r="E1886" s="663">
        <f>E1885-E1871-E1880</f>
        <v>0</v>
      </c>
      <c r="F1886" s="663">
        <f>F1885-F1871-F1880</f>
        <v>0</v>
      </c>
      <c r="G1886" s="664">
        <f>G1885-G1871-G1880</f>
        <v>0</v>
      </c>
      <c r="I1886" s="443"/>
      <c r="J1886" s="444"/>
      <c r="K1886" s="443"/>
      <c r="L1886" s="443"/>
      <c r="M1886" s="443"/>
      <c r="N1886" s="443"/>
      <c r="O1886" s="443"/>
      <c r="P1886" s="443"/>
      <c r="Q1886" s="443"/>
      <c r="R1886" s="443"/>
      <c r="S1886" s="443"/>
      <c r="T1886" s="443"/>
      <c r="U1886" s="443"/>
      <c r="V1886" s="443"/>
      <c r="W1886" s="443"/>
      <c r="X1886" s="443"/>
      <c r="Y1886" s="443"/>
      <c r="Z1886" s="443"/>
      <c r="AA1886" s="443"/>
      <c r="AB1886" s="443"/>
      <c r="AC1886" s="443"/>
      <c r="AD1886" s="443"/>
      <c r="AE1886" s="443"/>
      <c r="AF1886" s="443"/>
      <c r="AG1886" s="443"/>
      <c r="AH1886" s="443"/>
      <c r="AI1886" s="443"/>
      <c r="AJ1886" s="443"/>
      <c r="AK1886" s="443"/>
      <c r="AL1886" s="443"/>
      <c r="AM1886" s="443"/>
      <c r="AN1886" s="443"/>
      <c r="AO1886" s="443"/>
      <c r="AP1886" s="443"/>
      <c r="AQ1886" s="443"/>
      <c r="AR1886" s="443"/>
      <c r="AS1886" s="443"/>
      <c r="AT1886" s="443"/>
      <c r="AU1886" s="443"/>
      <c r="AV1886" s="443"/>
      <c r="AW1886" s="443"/>
      <c r="AX1886" s="443"/>
      <c r="AY1886" s="443"/>
      <c r="AZ1886" s="443"/>
      <c r="BA1886" s="443"/>
      <c r="BB1886" s="443"/>
      <c r="BC1886" s="443"/>
      <c r="BD1886" s="443"/>
      <c r="BE1886" s="443"/>
      <c r="BF1886" s="443"/>
      <c r="BG1886" s="443"/>
      <c r="BH1886" s="443"/>
      <c r="BI1886" s="443"/>
      <c r="BJ1886" s="443"/>
      <c r="BK1886" s="443"/>
      <c r="BL1886" s="443"/>
      <c r="BM1886" s="443"/>
      <c r="BN1886" s="443"/>
      <c r="BO1886" s="443"/>
      <c r="BP1886" s="443"/>
      <c r="BQ1886" s="443"/>
      <c r="BR1886" s="443"/>
      <c r="BS1886" s="443"/>
      <c r="BT1886" s="443"/>
      <c r="BU1886" s="443"/>
      <c r="BV1886" s="443"/>
      <c r="BW1886" s="443"/>
      <c r="BX1886" s="443"/>
      <c r="BY1886" s="443"/>
      <c r="BZ1886" s="443"/>
      <c r="CA1886" s="443"/>
      <c r="CB1886" s="443"/>
      <c r="CC1886" s="443"/>
      <c r="CD1886" s="443"/>
      <c r="CE1886" s="443"/>
      <c r="CF1886" s="443"/>
      <c r="CG1886" s="443"/>
      <c r="CH1886" s="443"/>
      <c r="CI1886" s="443"/>
      <c r="CJ1886" s="443"/>
      <c r="CK1886" s="443"/>
      <c r="CL1886" s="443"/>
      <c r="CM1886" s="443"/>
      <c r="CN1886" s="443"/>
      <c r="CO1886" s="443"/>
      <c r="CP1886" s="443"/>
      <c r="CQ1886" s="443"/>
      <c r="CR1886" s="443"/>
      <c r="CS1886" s="443"/>
      <c r="CT1886" s="443"/>
      <c r="CU1886" s="443"/>
      <c r="CV1886" s="443"/>
      <c r="CW1886" s="443"/>
      <c r="CX1886" s="443"/>
      <c r="CY1886" s="443"/>
      <c r="CZ1886" s="443"/>
      <c r="DA1886" s="443"/>
      <c r="DB1886" s="443"/>
      <c r="DC1886" s="443"/>
      <c r="DD1886" s="443"/>
      <c r="DE1886" s="443"/>
      <c r="DF1886" s="443"/>
      <c r="DG1886" s="443"/>
      <c r="DH1886" s="443"/>
      <c r="DI1886" s="443"/>
      <c r="DJ1886" s="443"/>
      <c r="DK1886" s="443"/>
      <c r="DL1886" s="443"/>
      <c r="DM1886" s="443"/>
      <c r="DN1886" s="443"/>
      <c r="DO1886" s="443"/>
      <c r="DP1886" s="443"/>
      <c r="DQ1886" s="443"/>
      <c r="DR1886" s="443"/>
      <c r="DS1886" s="443"/>
      <c r="DT1886" s="443"/>
      <c r="DU1886" s="443"/>
      <c r="DV1886" s="443"/>
      <c r="DW1886" s="443"/>
      <c r="DX1886" s="443"/>
      <c r="DY1886" s="443"/>
      <c r="DZ1886" s="443"/>
      <c r="EA1886" s="443"/>
      <c r="EB1886" s="443"/>
      <c r="EC1886" s="443"/>
      <c r="ED1886" s="443"/>
      <c r="EE1886" s="443"/>
      <c r="EF1886" s="443"/>
      <c r="EG1886" s="443"/>
      <c r="EH1886" s="443"/>
      <c r="EI1886" s="443"/>
    </row>
    <row r="1887" spans="1:139" s="665" customFormat="1" ht="17.100000000000001" customHeight="1">
      <c r="A1887" s="662"/>
      <c r="B1887" s="662"/>
      <c r="C1887" s="662"/>
      <c r="D1887" s="662"/>
      <c r="G1887" s="666"/>
      <c r="I1887" s="443"/>
      <c r="J1887" s="444"/>
      <c r="K1887" s="443"/>
      <c r="L1887" s="443"/>
      <c r="M1887" s="443"/>
      <c r="N1887" s="443"/>
      <c r="O1887" s="443"/>
      <c r="P1887" s="443"/>
      <c r="Q1887" s="443"/>
      <c r="R1887" s="443"/>
      <c r="S1887" s="443"/>
      <c r="T1887" s="443"/>
      <c r="U1887" s="443"/>
      <c r="V1887" s="443"/>
      <c r="W1887" s="443"/>
      <c r="X1887" s="443"/>
      <c r="Y1887" s="443"/>
      <c r="Z1887" s="443"/>
      <c r="AA1887" s="443"/>
      <c r="AB1887" s="443"/>
      <c r="AC1887" s="443"/>
      <c r="AD1887" s="443"/>
      <c r="AE1887" s="443"/>
      <c r="AF1887" s="443"/>
      <c r="AG1887" s="443"/>
      <c r="AH1887" s="443"/>
      <c r="AI1887" s="443"/>
      <c r="AJ1887" s="443"/>
      <c r="AK1887" s="443"/>
      <c r="AL1887" s="443"/>
      <c r="AM1887" s="443"/>
      <c r="AN1887" s="443"/>
      <c r="AO1887" s="443"/>
      <c r="AP1887" s="443"/>
      <c r="AQ1887" s="443"/>
      <c r="AR1887" s="443"/>
      <c r="AS1887" s="443"/>
      <c r="AT1887" s="443"/>
      <c r="AU1887" s="443"/>
      <c r="AV1887" s="443"/>
      <c r="AW1887" s="443"/>
      <c r="AX1887" s="443"/>
      <c r="AY1887" s="443"/>
      <c r="AZ1887" s="443"/>
      <c r="BA1887" s="443"/>
      <c r="BB1887" s="443"/>
      <c r="BC1887" s="443"/>
      <c r="BD1887" s="443"/>
      <c r="BE1887" s="443"/>
      <c r="BF1887" s="443"/>
      <c r="BG1887" s="443"/>
      <c r="BH1887" s="443"/>
      <c r="BI1887" s="443"/>
      <c r="BJ1887" s="443"/>
      <c r="BK1887" s="443"/>
      <c r="BL1887" s="443"/>
      <c r="BM1887" s="443"/>
      <c r="BN1887" s="443"/>
      <c r="BO1887" s="443"/>
      <c r="BP1887" s="443"/>
      <c r="BQ1887" s="443"/>
      <c r="BR1887" s="443"/>
      <c r="BS1887" s="443"/>
      <c r="BT1887" s="443"/>
      <c r="BU1887" s="443"/>
      <c r="BV1887" s="443"/>
      <c r="BW1887" s="443"/>
      <c r="BX1887" s="443"/>
      <c r="BY1887" s="443"/>
      <c r="BZ1887" s="443"/>
      <c r="CA1887" s="443"/>
      <c r="CB1887" s="443"/>
      <c r="CC1887" s="443"/>
      <c r="CD1887" s="443"/>
      <c r="CE1887" s="443"/>
      <c r="CF1887" s="443"/>
      <c r="CG1887" s="443"/>
      <c r="CH1887" s="443"/>
      <c r="CI1887" s="443"/>
      <c r="CJ1887" s="443"/>
      <c r="CK1887" s="443"/>
      <c r="CL1887" s="443"/>
      <c r="CM1887" s="443"/>
      <c r="CN1887" s="443"/>
      <c r="CO1887" s="443"/>
      <c r="CP1887" s="443"/>
      <c r="CQ1887" s="443"/>
      <c r="CR1887" s="443"/>
      <c r="CS1887" s="443"/>
      <c r="CT1887" s="443"/>
      <c r="CU1887" s="443"/>
      <c r="CV1887" s="443"/>
      <c r="CW1887" s="443"/>
      <c r="CX1887" s="443"/>
      <c r="CY1887" s="443"/>
      <c r="CZ1887" s="443"/>
      <c r="DA1887" s="443"/>
      <c r="DB1887" s="443"/>
      <c r="DC1887" s="443"/>
      <c r="DD1887" s="443"/>
      <c r="DE1887" s="443"/>
      <c r="DF1887" s="443"/>
      <c r="DG1887" s="443"/>
      <c r="DH1887" s="443"/>
      <c r="DI1887" s="443"/>
      <c r="DJ1887" s="443"/>
      <c r="DK1887" s="443"/>
      <c r="DL1887" s="443"/>
      <c r="DM1887" s="443"/>
      <c r="DN1887" s="443"/>
      <c r="DO1887" s="443"/>
      <c r="DP1887" s="443"/>
      <c r="DQ1887" s="443"/>
      <c r="DR1887" s="443"/>
      <c r="DS1887" s="443"/>
      <c r="DT1887" s="443"/>
      <c r="DU1887" s="443"/>
      <c r="DV1887" s="443"/>
      <c r="DW1887" s="443"/>
      <c r="DX1887" s="443"/>
      <c r="DY1887" s="443"/>
      <c r="DZ1887" s="443"/>
      <c r="EA1887" s="443"/>
      <c r="EB1887" s="443"/>
      <c r="EC1887" s="443"/>
      <c r="ED1887" s="443"/>
      <c r="EE1887" s="443"/>
      <c r="EF1887" s="443"/>
      <c r="EG1887" s="443"/>
      <c r="EH1887" s="443"/>
      <c r="EI1887" s="443"/>
    </row>
    <row r="1888" spans="1:139" s="665" customFormat="1" ht="17.100000000000001" customHeight="1">
      <c r="A1888" s="662"/>
      <c r="B1888" s="662"/>
      <c r="C1888" s="662"/>
      <c r="D1888" s="662"/>
      <c r="E1888" s="667"/>
      <c r="G1888" s="666"/>
      <c r="I1888" s="443"/>
      <c r="J1888" s="444"/>
      <c r="K1888" s="443"/>
      <c r="L1888" s="443"/>
      <c r="M1888" s="443"/>
      <c r="N1888" s="443"/>
      <c r="O1888" s="443"/>
      <c r="P1888" s="443"/>
      <c r="Q1888" s="443"/>
      <c r="R1888" s="443"/>
      <c r="S1888" s="443"/>
      <c r="T1888" s="443"/>
      <c r="U1888" s="443"/>
      <c r="V1888" s="443"/>
      <c r="W1888" s="443"/>
      <c r="X1888" s="443"/>
      <c r="Y1888" s="443"/>
      <c r="Z1888" s="443"/>
      <c r="AA1888" s="443"/>
      <c r="AB1888" s="443"/>
      <c r="AC1888" s="443"/>
      <c r="AD1888" s="443"/>
      <c r="AE1888" s="443"/>
      <c r="AF1888" s="443"/>
      <c r="AG1888" s="443"/>
      <c r="AH1888" s="443"/>
      <c r="AI1888" s="443"/>
      <c r="AJ1888" s="443"/>
      <c r="AK1888" s="443"/>
      <c r="AL1888" s="443"/>
      <c r="AM1888" s="443"/>
      <c r="AN1888" s="443"/>
      <c r="AO1888" s="443"/>
      <c r="AP1888" s="443"/>
      <c r="AQ1888" s="443"/>
      <c r="AR1888" s="443"/>
      <c r="AS1888" s="443"/>
      <c r="AT1888" s="443"/>
      <c r="AU1888" s="443"/>
      <c r="AV1888" s="443"/>
      <c r="AW1888" s="443"/>
      <c r="AX1888" s="443"/>
      <c r="AY1888" s="443"/>
      <c r="AZ1888" s="443"/>
      <c r="BA1888" s="443"/>
      <c r="BB1888" s="443"/>
      <c r="BC1888" s="443"/>
      <c r="BD1888" s="443"/>
      <c r="BE1888" s="443"/>
      <c r="BF1888" s="443"/>
      <c r="BG1888" s="443"/>
      <c r="BH1888" s="443"/>
      <c r="BI1888" s="443"/>
      <c r="BJ1888" s="443"/>
      <c r="BK1888" s="443"/>
      <c r="BL1888" s="443"/>
      <c r="BM1888" s="443"/>
      <c r="BN1888" s="443"/>
      <c r="BO1888" s="443"/>
      <c r="BP1888" s="443"/>
      <c r="BQ1888" s="443"/>
      <c r="BR1888" s="443"/>
      <c r="BS1888" s="443"/>
      <c r="BT1888" s="443"/>
      <c r="BU1888" s="443"/>
      <c r="BV1888" s="443"/>
      <c r="BW1888" s="443"/>
      <c r="BX1888" s="443"/>
      <c r="BY1888" s="443"/>
      <c r="BZ1888" s="443"/>
      <c r="CA1888" s="443"/>
      <c r="CB1888" s="443"/>
      <c r="CC1888" s="443"/>
      <c r="CD1888" s="443"/>
      <c r="CE1888" s="443"/>
      <c r="CF1888" s="443"/>
      <c r="CG1888" s="443"/>
      <c r="CH1888" s="443"/>
      <c r="CI1888" s="443"/>
      <c r="CJ1888" s="443"/>
      <c r="CK1888" s="443"/>
      <c r="CL1888" s="443"/>
      <c r="CM1888" s="443"/>
      <c r="CN1888" s="443"/>
      <c r="CO1888" s="443"/>
      <c r="CP1888" s="443"/>
      <c r="CQ1888" s="443"/>
      <c r="CR1888" s="443"/>
      <c r="CS1888" s="443"/>
      <c r="CT1888" s="443"/>
      <c r="CU1888" s="443"/>
      <c r="CV1888" s="443"/>
      <c r="CW1888" s="443"/>
      <c r="CX1888" s="443"/>
      <c r="CY1888" s="443"/>
      <c r="CZ1888" s="443"/>
      <c r="DA1888" s="443"/>
      <c r="DB1888" s="443"/>
      <c r="DC1888" s="443"/>
      <c r="DD1888" s="443"/>
      <c r="DE1888" s="443"/>
      <c r="DF1888" s="443"/>
      <c r="DG1888" s="443"/>
      <c r="DH1888" s="443"/>
      <c r="DI1888" s="443"/>
      <c r="DJ1888" s="443"/>
      <c r="DK1888" s="443"/>
      <c r="DL1888" s="443"/>
      <c r="DM1888" s="443"/>
      <c r="DN1888" s="443"/>
      <c r="DO1888" s="443"/>
      <c r="DP1888" s="443"/>
      <c r="DQ1888" s="443"/>
      <c r="DR1888" s="443"/>
      <c r="DS1888" s="443"/>
      <c r="DT1888" s="443"/>
      <c r="DU1888" s="443"/>
      <c r="DV1888" s="443"/>
      <c r="DW1888" s="443"/>
      <c r="DX1888" s="443"/>
      <c r="DY1888" s="443"/>
      <c r="DZ1888" s="443"/>
      <c r="EA1888" s="443"/>
      <c r="EB1888" s="443"/>
      <c r="EC1888" s="443"/>
      <c r="ED1888" s="443"/>
      <c r="EE1888" s="443"/>
      <c r="EF1888" s="443"/>
      <c r="EG1888" s="443"/>
      <c r="EH1888" s="443"/>
      <c r="EI1888" s="443"/>
    </row>
    <row r="1889" spans="1:139" s="665" customFormat="1" ht="17.100000000000001" customHeight="1">
      <c r="A1889" s="1328"/>
      <c r="B1889" s="1329"/>
      <c r="C1889" s="1329"/>
      <c r="D1889" s="1329"/>
      <c r="E1889" s="667"/>
      <c r="G1889" s="666"/>
      <c r="I1889" s="443"/>
      <c r="J1889" s="444"/>
      <c r="K1889" s="443"/>
      <c r="L1889" s="443"/>
      <c r="M1889" s="443"/>
      <c r="N1889" s="443"/>
      <c r="O1889" s="443"/>
      <c r="P1889" s="443"/>
      <c r="Q1889" s="443"/>
      <c r="R1889" s="443"/>
      <c r="S1889" s="443"/>
      <c r="T1889" s="443"/>
      <c r="U1889" s="443"/>
      <c r="V1889" s="443"/>
      <c r="W1889" s="443"/>
      <c r="X1889" s="443"/>
      <c r="Y1889" s="443"/>
      <c r="Z1889" s="443"/>
      <c r="AA1889" s="443"/>
      <c r="AB1889" s="443"/>
      <c r="AC1889" s="443"/>
      <c r="AD1889" s="443"/>
      <c r="AE1889" s="443"/>
      <c r="AF1889" s="443"/>
      <c r="AG1889" s="443"/>
      <c r="AH1889" s="443"/>
      <c r="AI1889" s="443"/>
      <c r="AJ1889" s="443"/>
      <c r="AK1889" s="443"/>
      <c r="AL1889" s="443"/>
      <c r="AM1889" s="443"/>
      <c r="AN1889" s="443"/>
      <c r="AO1889" s="443"/>
      <c r="AP1889" s="443"/>
      <c r="AQ1889" s="443"/>
      <c r="AR1889" s="443"/>
      <c r="AS1889" s="443"/>
      <c r="AT1889" s="443"/>
      <c r="AU1889" s="443"/>
      <c r="AV1889" s="443"/>
      <c r="AW1889" s="443"/>
      <c r="AX1889" s="443"/>
      <c r="AY1889" s="443"/>
      <c r="AZ1889" s="443"/>
      <c r="BA1889" s="443"/>
      <c r="BB1889" s="443"/>
      <c r="BC1889" s="443"/>
      <c r="BD1889" s="443"/>
      <c r="BE1889" s="443"/>
      <c r="BF1889" s="443"/>
      <c r="BG1889" s="443"/>
      <c r="BH1889" s="443"/>
      <c r="BI1889" s="443"/>
      <c r="BJ1889" s="443"/>
      <c r="BK1889" s="443"/>
      <c r="BL1889" s="443"/>
      <c r="BM1889" s="443"/>
      <c r="BN1889" s="443"/>
      <c r="BO1889" s="443"/>
      <c r="BP1889" s="443"/>
      <c r="BQ1889" s="443"/>
      <c r="BR1889" s="443"/>
      <c r="BS1889" s="443"/>
      <c r="BT1889" s="443"/>
      <c r="BU1889" s="443"/>
      <c r="BV1889" s="443"/>
      <c r="BW1889" s="443"/>
      <c r="BX1889" s="443"/>
      <c r="BY1889" s="443"/>
      <c r="BZ1889" s="443"/>
      <c r="CA1889" s="443"/>
      <c r="CB1889" s="443"/>
      <c r="CC1889" s="443"/>
      <c r="CD1889" s="443"/>
      <c r="CE1889" s="443"/>
      <c r="CF1889" s="443"/>
      <c r="CG1889" s="443"/>
      <c r="CH1889" s="443"/>
      <c r="CI1889" s="443"/>
      <c r="CJ1889" s="443"/>
      <c r="CK1889" s="443"/>
      <c r="CL1889" s="443"/>
      <c r="CM1889" s="443"/>
      <c r="CN1889" s="443"/>
      <c r="CO1889" s="443"/>
      <c r="CP1889" s="443"/>
      <c r="CQ1889" s="443"/>
      <c r="CR1889" s="443"/>
      <c r="CS1889" s="443"/>
      <c r="CT1889" s="443"/>
      <c r="CU1889" s="443"/>
      <c r="CV1889" s="443"/>
      <c r="CW1889" s="443"/>
      <c r="CX1889" s="443"/>
      <c r="CY1889" s="443"/>
      <c r="CZ1889" s="443"/>
      <c r="DA1889" s="443"/>
      <c r="DB1889" s="443"/>
      <c r="DC1889" s="443"/>
      <c r="DD1889" s="443"/>
      <c r="DE1889" s="443"/>
      <c r="DF1889" s="443"/>
      <c r="DG1889" s="443"/>
      <c r="DH1889" s="443"/>
      <c r="DI1889" s="443"/>
      <c r="DJ1889" s="443"/>
      <c r="DK1889" s="443"/>
      <c r="DL1889" s="443"/>
      <c r="DM1889" s="443"/>
      <c r="DN1889" s="443"/>
      <c r="DO1889" s="443"/>
      <c r="DP1889" s="443"/>
      <c r="DQ1889" s="443"/>
      <c r="DR1889" s="443"/>
      <c r="DS1889" s="443"/>
      <c r="DT1889" s="443"/>
      <c r="DU1889" s="443"/>
      <c r="DV1889" s="443"/>
      <c r="DW1889" s="443"/>
      <c r="DX1889" s="443"/>
      <c r="DY1889" s="443"/>
      <c r="DZ1889" s="443"/>
      <c r="EA1889" s="443"/>
      <c r="EB1889" s="443"/>
      <c r="EC1889" s="443"/>
      <c r="ED1889" s="443"/>
      <c r="EE1889" s="443"/>
      <c r="EF1889" s="443"/>
      <c r="EG1889" s="443"/>
      <c r="EH1889" s="443"/>
      <c r="EI1889" s="443"/>
    </row>
    <row r="1890" spans="1:139" s="665" customFormat="1" ht="17.100000000000001" customHeight="1">
      <c r="A1890" s="662"/>
      <c r="B1890" s="662"/>
      <c r="C1890" s="662"/>
      <c r="D1890" s="662"/>
      <c r="G1890" s="666"/>
      <c r="I1890" s="443"/>
      <c r="J1890" s="444"/>
      <c r="K1890" s="443"/>
      <c r="L1890" s="443"/>
      <c r="M1890" s="443"/>
      <c r="N1890" s="443"/>
      <c r="O1890" s="443"/>
      <c r="P1890" s="443"/>
      <c r="Q1890" s="443"/>
      <c r="R1890" s="443"/>
      <c r="S1890" s="443"/>
      <c r="T1890" s="443"/>
      <c r="U1890" s="443"/>
      <c r="V1890" s="443"/>
      <c r="W1890" s="443"/>
      <c r="X1890" s="443"/>
      <c r="Y1890" s="443"/>
      <c r="Z1890" s="443"/>
      <c r="AA1890" s="443"/>
      <c r="AB1890" s="443"/>
      <c r="AC1890" s="443"/>
      <c r="AD1890" s="443"/>
      <c r="AE1890" s="443"/>
      <c r="AF1890" s="443"/>
      <c r="AG1890" s="443"/>
      <c r="AH1890" s="443"/>
      <c r="AI1890" s="443"/>
      <c r="AJ1890" s="443"/>
      <c r="AK1890" s="443"/>
      <c r="AL1890" s="443"/>
      <c r="AM1890" s="443"/>
      <c r="AN1890" s="443"/>
      <c r="AO1890" s="443"/>
      <c r="AP1890" s="443"/>
      <c r="AQ1890" s="443"/>
      <c r="AR1890" s="443"/>
      <c r="AS1890" s="443"/>
      <c r="AT1890" s="443"/>
      <c r="AU1890" s="443"/>
      <c r="AV1890" s="443"/>
      <c r="AW1890" s="443"/>
      <c r="AX1890" s="443"/>
      <c r="AY1890" s="443"/>
      <c r="AZ1890" s="443"/>
      <c r="BA1890" s="443"/>
      <c r="BB1890" s="443"/>
      <c r="BC1890" s="443"/>
      <c r="BD1890" s="443"/>
      <c r="BE1890" s="443"/>
      <c r="BF1890" s="443"/>
      <c r="BG1890" s="443"/>
      <c r="BH1890" s="443"/>
      <c r="BI1890" s="443"/>
      <c r="BJ1890" s="443"/>
      <c r="BK1890" s="443"/>
      <c r="BL1890" s="443"/>
      <c r="BM1890" s="443"/>
      <c r="BN1890" s="443"/>
      <c r="BO1890" s="443"/>
      <c r="BP1890" s="443"/>
      <c r="BQ1890" s="443"/>
      <c r="BR1890" s="443"/>
      <c r="BS1890" s="443"/>
      <c r="BT1890" s="443"/>
      <c r="BU1890" s="443"/>
      <c r="BV1890" s="443"/>
      <c r="BW1890" s="443"/>
      <c r="BX1890" s="443"/>
      <c r="BY1890" s="443"/>
      <c r="BZ1890" s="443"/>
      <c r="CA1890" s="443"/>
      <c r="CB1890" s="443"/>
      <c r="CC1890" s="443"/>
      <c r="CD1890" s="443"/>
      <c r="CE1890" s="443"/>
      <c r="CF1890" s="443"/>
      <c r="CG1890" s="443"/>
      <c r="CH1890" s="443"/>
      <c r="CI1890" s="443"/>
      <c r="CJ1890" s="443"/>
      <c r="CK1890" s="443"/>
      <c r="CL1890" s="443"/>
      <c r="CM1890" s="443"/>
      <c r="CN1890" s="443"/>
      <c r="CO1890" s="443"/>
      <c r="CP1890" s="443"/>
      <c r="CQ1890" s="443"/>
      <c r="CR1890" s="443"/>
      <c r="CS1890" s="443"/>
      <c r="CT1890" s="443"/>
      <c r="CU1890" s="443"/>
      <c r="CV1890" s="443"/>
      <c r="CW1890" s="443"/>
      <c r="CX1890" s="443"/>
      <c r="CY1890" s="443"/>
      <c r="CZ1890" s="443"/>
      <c r="DA1890" s="443"/>
      <c r="DB1890" s="443"/>
      <c r="DC1890" s="443"/>
      <c r="DD1890" s="443"/>
      <c r="DE1890" s="443"/>
      <c r="DF1890" s="443"/>
      <c r="DG1890" s="443"/>
      <c r="DH1890" s="443"/>
      <c r="DI1890" s="443"/>
      <c r="DJ1890" s="443"/>
      <c r="DK1890" s="443"/>
      <c r="DL1890" s="443"/>
      <c r="DM1890" s="443"/>
      <c r="DN1890" s="443"/>
      <c r="DO1890" s="443"/>
      <c r="DP1890" s="443"/>
      <c r="DQ1890" s="443"/>
      <c r="DR1890" s="443"/>
      <c r="DS1890" s="443"/>
      <c r="DT1890" s="443"/>
      <c r="DU1890" s="443"/>
      <c r="DV1890" s="443"/>
      <c r="DW1890" s="443"/>
      <c r="DX1890" s="443"/>
      <c r="DY1890" s="443"/>
      <c r="DZ1890" s="443"/>
      <c r="EA1890" s="443"/>
      <c r="EB1890" s="443"/>
      <c r="EC1890" s="443"/>
      <c r="ED1890" s="443"/>
      <c r="EE1890" s="443"/>
      <c r="EF1890" s="443"/>
      <c r="EG1890" s="443"/>
      <c r="EH1890" s="443"/>
      <c r="EI1890" s="443"/>
    </row>
    <row r="1891" spans="1:139" s="665" customFormat="1">
      <c r="A1891" s="662"/>
      <c r="B1891" s="662"/>
      <c r="C1891" s="662"/>
      <c r="D1891" s="662"/>
      <c r="G1891" s="666"/>
      <c r="I1891" s="443"/>
      <c r="J1891" s="444"/>
      <c r="K1891" s="443"/>
      <c r="L1891" s="443"/>
      <c r="M1891" s="443"/>
      <c r="N1891" s="443"/>
      <c r="O1891" s="443"/>
      <c r="P1891" s="443"/>
      <c r="Q1891" s="443"/>
      <c r="R1891" s="443"/>
      <c r="S1891" s="443"/>
      <c r="T1891" s="443"/>
      <c r="U1891" s="443"/>
      <c r="V1891" s="443"/>
      <c r="W1891" s="443"/>
      <c r="X1891" s="443"/>
      <c r="Y1891" s="443"/>
      <c r="Z1891" s="443"/>
      <c r="AA1891" s="443"/>
      <c r="AB1891" s="443"/>
      <c r="AC1891" s="443"/>
      <c r="AD1891" s="443"/>
      <c r="AE1891" s="443"/>
      <c r="AF1891" s="443"/>
      <c r="AG1891" s="443"/>
      <c r="AH1891" s="443"/>
      <c r="AI1891" s="443"/>
      <c r="AJ1891" s="443"/>
      <c r="AK1891" s="443"/>
      <c r="AL1891" s="443"/>
      <c r="AM1891" s="443"/>
      <c r="AN1891" s="443"/>
      <c r="AO1891" s="443"/>
      <c r="AP1891" s="443"/>
      <c r="AQ1891" s="443"/>
      <c r="AR1891" s="443"/>
      <c r="AS1891" s="443"/>
      <c r="AT1891" s="443"/>
      <c r="AU1891" s="443"/>
      <c r="AV1891" s="443"/>
      <c r="AW1891" s="443"/>
      <c r="AX1891" s="443"/>
      <c r="AY1891" s="443"/>
      <c r="AZ1891" s="443"/>
      <c r="BA1891" s="443"/>
      <c r="BB1891" s="443"/>
      <c r="BC1891" s="443"/>
      <c r="BD1891" s="443"/>
      <c r="BE1891" s="443"/>
      <c r="BF1891" s="443"/>
      <c r="BG1891" s="443"/>
      <c r="BH1891" s="443"/>
      <c r="BI1891" s="443"/>
      <c r="BJ1891" s="443"/>
      <c r="BK1891" s="443"/>
      <c r="BL1891" s="443"/>
      <c r="BM1891" s="443"/>
      <c r="BN1891" s="443"/>
      <c r="BO1891" s="443"/>
      <c r="BP1891" s="443"/>
      <c r="BQ1891" s="443"/>
      <c r="BR1891" s="443"/>
      <c r="BS1891" s="443"/>
      <c r="BT1891" s="443"/>
      <c r="BU1891" s="443"/>
      <c r="BV1891" s="443"/>
      <c r="BW1891" s="443"/>
      <c r="BX1891" s="443"/>
      <c r="BY1891" s="443"/>
      <c r="BZ1891" s="443"/>
      <c r="CA1891" s="443"/>
      <c r="CB1891" s="443"/>
      <c r="CC1891" s="443"/>
      <c r="CD1891" s="443"/>
      <c r="CE1891" s="443"/>
      <c r="CF1891" s="443"/>
      <c r="CG1891" s="443"/>
      <c r="CH1891" s="443"/>
      <c r="CI1891" s="443"/>
      <c r="CJ1891" s="443"/>
      <c r="CK1891" s="443"/>
      <c r="CL1891" s="443"/>
      <c r="CM1891" s="443"/>
      <c r="CN1891" s="443"/>
      <c r="CO1891" s="443"/>
      <c r="CP1891" s="443"/>
      <c r="CQ1891" s="443"/>
      <c r="CR1891" s="443"/>
      <c r="CS1891" s="443"/>
      <c r="CT1891" s="443"/>
      <c r="CU1891" s="443"/>
      <c r="CV1891" s="443"/>
      <c r="CW1891" s="443"/>
      <c r="CX1891" s="443"/>
      <c r="CY1891" s="443"/>
      <c r="CZ1891" s="443"/>
      <c r="DA1891" s="443"/>
      <c r="DB1891" s="443"/>
      <c r="DC1891" s="443"/>
      <c r="DD1891" s="443"/>
      <c r="DE1891" s="443"/>
      <c r="DF1891" s="443"/>
      <c r="DG1891" s="443"/>
      <c r="DH1891" s="443"/>
      <c r="DI1891" s="443"/>
      <c r="DJ1891" s="443"/>
      <c r="DK1891" s="443"/>
      <c r="DL1891" s="443"/>
      <c r="DM1891" s="443"/>
      <c r="DN1891" s="443"/>
      <c r="DO1891" s="443"/>
      <c r="DP1891" s="443"/>
      <c r="DQ1891" s="443"/>
      <c r="DR1891" s="443"/>
      <c r="DS1891" s="443"/>
      <c r="DT1891" s="443"/>
      <c r="DU1891" s="443"/>
      <c r="DV1891" s="443"/>
      <c r="DW1891" s="443"/>
      <c r="DX1891" s="443"/>
      <c r="DY1891" s="443"/>
      <c r="DZ1891" s="443"/>
      <c r="EA1891" s="443"/>
      <c r="EB1891" s="443"/>
      <c r="EC1891" s="443"/>
      <c r="ED1891" s="443"/>
      <c r="EE1891" s="443"/>
      <c r="EF1891" s="443"/>
      <c r="EG1891" s="443"/>
      <c r="EH1891" s="443"/>
      <c r="EI1891" s="443"/>
    </row>
    <row r="1892" spans="1:139" s="665" customFormat="1">
      <c r="A1892" s="662"/>
      <c r="B1892" s="662"/>
      <c r="C1892" s="662"/>
      <c r="D1892" s="662"/>
      <c r="G1892" s="666"/>
      <c r="I1892" s="443"/>
      <c r="J1892" s="444"/>
      <c r="K1892" s="443"/>
      <c r="L1892" s="443"/>
      <c r="M1892" s="443"/>
      <c r="N1892" s="443"/>
      <c r="O1892" s="443"/>
      <c r="P1892" s="443"/>
      <c r="Q1892" s="443"/>
      <c r="R1892" s="443"/>
      <c r="S1892" s="443"/>
      <c r="T1892" s="443"/>
      <c r="U1892" s="443"/>
      <c r="V1892" s="443"/>
      <c r="W1892" s="443"/>
      <c r="X1892" s="443"/>
      <c r="Y1892" s="443"/>
      <c r="Z1892" s="443"/>
      <c r="AA1892" s="443"/>
      <c r="AB1892" s="443"/>
      <c r="AC1892" s="443"/>
      <c r="AD1892" s="443"/>
      <c r="AE1892" s="443"/>
      <c r="AF1892" s="443"/>
      <c r="AG1892" s="443"/>
      <c r="AH1892" s="443"/>
      <c r="AI1892" s="443"/>
      <c r="AJ1892" s="443"/>
      <c r="AK1892" s="443"/>
      <c r="AL1892" s="443"/>
      <c r="AM1892" s="443"/>
      <c r="AN1892" s="443"/>
      <c r="AO1892" s="443"/>
      <c r="AP1892" s="443"/>
      <c r="AQ1892" s="443"/>
      <c r="AR1892" s="443"/>
      <c r="AS1892" s="443"/>
      <c r="AT1892" s="443"/>
      <c r="AU1892" s="443"/>
      <c r="AV1892" s="443"/>
      <c r="AW1892" s="443"/>
      <c r="AX1892" s="443"/>
      <c r="AY1892" s="443"/>
      <c r="AZ1892" s="443"/>
      <c r="BA1892" s="443"/>
      <c r="BB1892" s="443"/>
      <c r="BC1892" s="443"/>
      <c r="BD1892" s="443"/>
      <c r="BE1892" s="443"/>
      <c r="BF1892" s="443"/>
      <c r="BG1892" s="443"/>
      <c r="BH1892" s="443"/>
      <c r="BI1892" s="443"/>
      <c r="BJ1892" s="443"/>
      <c r="BK1892" s="443"/>
      <c r="BL1892" s="443"/>
      <c r="BM1892" s="443"/>
      <c r="BN1892" s="443"/>
      <c r="BO1892" s="443"/>
      <c r="BP1892" s="443"/>
      <c r="BQ1892" s="443"/>
      <c r="BR1892" s="443"/>
      <c r="BS1892" s="443"/>
      <c r="BT1892" s="443"/>
      <c r="BU1892" s="443"/>
      <c r="BV1892" s="443"/>
      <c r="BW1892" s="443"/>
      <c r="BX1892" s="443"/>
      <c r="BY1892" s="443"/>
      <c r="BZ1892" s="443"/>
      <c r="CA1892" s="443"/>
      <c r="CB1892" s="443"/>
      <c r="CC1892" s="443"/>
      <c r="CD1892" s="443"/>
      <c r="CE1892" s="443"/>
      <c r="CF1892" s="443"/>
      <c r="CG1892" s="443"/>
      <c r="CH1892" s="443"/>
      <c r="CI1892" s="443"/>
      <c r="CJ1892" s="443"/>
      <c r="CK1892" s="443"/>
      <c r="CL1892" s="443"/>
      <c r="CM1892" s="443"/>
      <c r="CN1892" s="443"/>
      <c r="CO1892" s="443"/>
      <c r="CP1892" s="443"/>
      <c r="CQ1892" s="443"/>
      <c r="CR1892" s="443"/>
      <c r="CS1892" s="443"/>
      <c r="CT1892" s="443"/>
      <c r="CU1892" s="443"/>
      <c r="CV1892" s="443"/>
      <c r="CW1892" s="443"/>
      <c r="CX1892" s="443"/>
      <c r="CY1892" s="443"/>
      <c r="CZ1892" s="443"/>
      <c r="DA1892" s="443"/>
      <c r="DB1892" s="443"/>
      <c r="DC1892" s="443"/>
      <c r="DD1892" s="443"/>
      <c r="DE1892" s="443"/>
      <c r="DF1892" s="443"/>
      <c r="DG1892" s="443"/>
      <c r="DH1892" s="443"/>
      <c r="DI1892" s="443"/>
      <c r="DJ1892" s="443"/>
      <c r="DK1892" s="443"/>
      <c r="DL1892" s="443"/>
      <c r="DM1892" s="443"/>
      <c r="DN1892" s="443"/>
      <c r="DO1892" s="443"/>
      <c r="DP1892" s="443"/>
      <c r="DQ1892" s="443"/>
      <c r="DR1892" s="443"/>
      <c r="DS1892" s="443"/>
      <c r="DT1892" s="443"/>
      <c r="DU1892" s="443"/>
      <c r="DV1892" s="443"/>
      <c r="DW1892" s="443"/>
      <c r="DX1892" s="443"/>
      <c r="DY1892" s="443"/>
      <c r="DZ1892" s="443"/>
      <c r="EA1892" s="443"/>
      <c r="EB1892" s="443"/>
      <c r="EC1892" s="443"/>
      <c r="ED1892" s="443"/>
      <c r="EE1892" s="443"/>
      <c r="EF1892" s="443"/>
      <c r="EG1892" s="443"/>
      <c r="EH1892" s="443"/>
      <c r="EI1892" s="443"/>
    </row>
    <row r="1893" spans="1:139" s="665" customFormat="1">
      <c r="A1893" s="443"/>
      <c r="B1893" s="443"/>
      <c r="C1893" s="596"/>
      <c r="D1893" s="443"/>
      <c r="G1893" s="666"/>
      <c r="I1893" s="443"/>
      <c r="J1893" s="444"/>
      <c r="K1893" s="443"/>
      <c r="L1893" s="443"/>
      <c r="M1893" s="443"/>
      <c r="N1893" s="443"/>
      <c r="O1893" s="443"/>
      <c r="P1893" s="443"/>
      <c r="Q1893" s="443"/>
      <c r="R1893" s="443"/>
      <c r="S1893" s="443"/>
      <c r="T1893" s="443"/>
      <c r="U1893" s="443"/>
      <c r="V1893" s="443"/>
      <c r="W1893" s="443"/>
      <c r="X1893" s="443"/>
      <c r="Y1893" s="443"/>
      <c r="Z1893" s="443"/>
      <c r="AA1893" s="443"/>
      <c r="AB1893" s="443"/>
      <c r="AC1893" s="443"/>
      <c r="AD1893" s="443"/>
      <c r="AE1893" s="443"/>
      <c r="AF1893" s="443"/>
      <c r="AG1893" s="443"/>
      <c r="AH1893" s="443"/>
      <c r="AI1893" s="443"/>
      <c r="AJ1893" s="443"/>
      <c r="AK1893" s="443"/>
      <c r="AL1893" s="443"/>
      <c r="AM1893" s="443"/>
      <c r="AN1893" s="443"/>
      <c r="AO1893" s="443"/>
      <c r="AP1893" s="443"/>
      <c r="AQ1893" s="443"/>
      <c r="AR1893" s="443"/>
      <c r="AS1893" s="443"/>
      <c r="AT1893" s="443"/>
      <c r="AU1893" s="443"/>
      <c r="AV1893" s="443"/>
      <c r="AW1893" s="443"/>
      <c r="AX1893" s="443"/>
      <c r="AY1893" s="443"/>
      <c r="AZ1893" s="443"/>
      <c r="BA1893" s="443"/>
      <c r="BB1893" s="443"/>
      <c r="BC1893" s="443"/>
      <c r="BD1893" s="443"/>
      <c r="BE1893" s="443"/>
      <c r="BF1893" s="443"/>
      <c r="BG1893" s="443"/>
      <c r="BH1893" s="443"/>
      <c r="BI1893" s="443"/>
      <c r="BJ1893" s="443"/>
      <c r="BK1893" s="443"/>
      <c r="BL1893" s="443"/>
      <c r="BM1893" s="443"/>
      <c r="BN1893" s="443"/>
      <c r="BO1893" s="443"/>
      <c r="BP1893" s="443"/>
      <c r="BQ1893" s="443"/>
      <c r="BR1893" s="443"/>
      <c r="BS1893" s="443"/>
      <c r="BT1893" s="443"/>
      <c r="BU1893" s="443"/>
      <c r="BV1893" s="443"/>
      <c r="BW1893" s="443"/>
      <c r="BX1893" s="443"/>
      <c r="BY1893" s="443"/>
      <c r="BZ1893" s="443"/>
      <c r="CA1893" s="443"/>
      <c r="CB1893" s="443"/>
      <c r="CC1893" s="443"/>
      <c r="CD1893" s="443"/>
      <c r="CE1893" s="443"/>
      <c r="CF1893" s="443"/>
      <c r="CG1893" s="443"/>
      <c r="CH1893" s="443"/>
      <c r="CI1893" s="443"/>
      <c r="CJ1893" s="443"/>
      <c r="CK1893" s="443"/>
      <c r="CL1893" s="443"/>
      <c r="CM1893" s="443"/>
      <c r="CN1893" s="443"/>
      <c r="CO1893" s="443"/>
      <c r="CP1893" s="443"/>
      <c r="CQ1893" s="443"/>
      <c r="CR1893" s="443"/>
      <c r="CS1893" s="443"/>
      <c r="CT1893" s="443"/>
      <c r="CU1893" s="443"/>
      <c r="CV1893" s="443"/>
      <c r="CW1893" s="443"/>
      <c r="CX1893" s="443"/>
      <c r="CY1893" s="443"/>
      <c r="CZ1893" s="443"/>
      <c r="DA1893" s="443"/>
      <c r="DB1893" s="443"/>
      <c r="DC1893" s="443"/>
      <c r="DD1893" s="443"/>
      <c r="DE1893" s="443"/>
      <c r="DF1893" s="443"/>
      <c r="DG1893" s="443"/>
      <c r="DH1893" s="443"/>
      <c r="DI1893" s="443"/>
      <c r="DJ1893" s="443"/>
      <c r="DK1893" s="443"/>
      <c r="DL1893" s="443"/>
      <c r="DM1893" s="443"/>
      <c r="DN1893" s="443"/>
      <c r="DO1893" s="443"/>
      <c r="DP1893" s="443"/>
      <c r="DQ1893" s="443"/>
      <c r="DR1893" s="443"/>
      <c r="DS1893" s="443"/>
      <c r="DT1893" s="443"/>
      <c r="DU1893" s="443"/>
      <c r="DV1893" s="443"/>
      <c r="DW1893" s="443"/>
      <c r="DX1893" s="443"/>
      <c r="DY1893" s="443"/>
      <c r="DZ1893" s="443"/>
      <c r="EA1893" s="443"/>
      <c r="EB1893" s="443"/>
      <c r="EC1893" s="443"/>
      <c r="ED1893" s="443"/>
      <c r="EE1893" s="443"/>
      <c r="EF1893" s="443"/>
      <c r="EG1893" s="443"/>
      <c r="EH1893" s="443"/>
      <c r="EI1893" s="443"/>
    </row>
    <row r="1895" spans="1:139" s="665" customFormat="1">
      <c r="A1895" s="443"/>
      <c r="B1895" s="443"/>
      <c r="C1895" s="596"/>
      <c r="D1895" s="443"/>
      <c r="G1895" s="666"/>
      <c r="I1895" s="443"/>
      <c r="J1895" s="444"/>
      <c r="K1895" s="443"/>
      <c r="L1895" s="443"/>
      <c r="M1895" s="443"/>
      <c r="N1895" s="443"/>
      <c r="O1895" s="443"/>
      <c r="P1895" s="443"/>
      <c r="Q1895" s="443"/>
      <c r="R1895" s="443"/>
      <c r="S1895" s="443"/>
      <c r="T1895" s="443"/>
      <c r="U1895" s="443"/>
      <c r="V1895" s="443"/>
      <c r="W1895" s="443"/>
      <c r="X1895" s="443"/>
      <c r="Y1895" s="443"/>
      <c r="Z1895" s="443"/>
      <c r="AA1895" s="443"/>
      <c r="AB1895" s="443"/>
      <c r="AC1895" s="443"/>
      <c r="AD1895" s="443"/>
      <c r="AE1895" s="443"/>
      <c r="AF1895" s="443"/>
      <c r="AG1895" s="443"/>
      <c r="AH1895" s="443"/>
      <c r="AI1895" s="443"/>
      <c r="AJ1895" s="443"/>
      <c r="AK1895" s="443"/>
      <c r="AL1895" s="443"/>
      <c r="AM1895" s="443"/>
      <c r="AN1895" s="443"/>
      <c r="AO1895" s="443"/>
      <c r="AP1895" s="443"/>
      <c r="AQ1895" s="443"/>
      <c r="AR1895" s="443"/>
      <c r="AS1895" s="443"/>
      <c r="AT1895" s="443"/>
      <c r="AU1895" s="443"/>
      <c r="AV1895" s="443"/>
      <c r="AW1895" s="443"/>
      <c r="AX1895" s="443"/>
      <c r="AY1895" s="443"/>
      <c r="AZ1895" s="443"/>
      <c r="BA1895" s="443"/>
      <c r="BB1895" s="443"/>
      <c r="BC1895" s="443"/>
      <c r="BD1895" s="443"/>
      <c r="BE1895" s="443"/>
      <c r="BF1895" s="443"/>
      <c r="BG1895" s="443"/>
      <c r="BH1895" s="443"/>
      <c r="BI1895" s="443"/>
      <c r="BJ1895" s="443"/>
      <c r="BK1895" s="443"/>
      <c r="BL1895" s="443"/>
      <c r="BM1895" s="443"/>
      <c r="BN1895" s="443"/>
      <c r="BO1895" s="443"/>
      <c r="BP1895" s="443"/>
      <c r="BQ1895" s="443"/>
      <c r="BR1895" s="443"/>
      <c r="BS1895" s="443"/>
      <c r="BT1895" s="443"/>
      <c r="BU1895" s="443"/>
      <c r="BV1895" s="443"/>
      <c r="BW1895" s="443"/>
      <c r="BX1895" s="443"/>
      <c r="BY1895" s="443"/>
      <c r="BZ1895" s="443"/>
      <c r="CA1895" s="443"/>
      <c r="CB1895" s="443"/>
      <c r="CC1895" s="443"/>
      <c r="CD1895" s="443"/>
      <c r="CE1895" s="443"/>
      <c r="CF1895" s="443"/>
      <c r="CG1895" s="443"/>
      <c r="CH1895" s="443"/>
      <c r="CI1895" s="443"/>
      <c r="CJ1895" s="443"/>
      <c r="CK1895" s="443"/>
      <c r="CL1895" s="443"/>
      <c r="CM1895" s="443"/>
      <c r="CN1895" s="443"/>
      <c r="CO1895" s="443"/>
      <c r="CP1895" s="443"/>
      <c r="CQ1895" s="443"/>
      <c r="CR1895" s="443"/>
      <c r="CS1895" s="443"/>
      <c r="CT1895" s="443"/>
      <c r="CU1895" s="443"/>
      <c r="CV1895" s="443"/>
      <c r="CW1895" s="443"/>
      <c r="CX1895" s="443"/>
      <c r="CY1895" s="443"/>
      <c r="CZ1895" s="443"/>
      <c r="DA1895" s="443"/>
      <c r="DB1895" s="443"/>
      <c r="DC1895" s="443"/>
      <c r="DD1895" s="443"/>
      <c r="DE1895" s="443"/>
      <c r="DF1895" s="443"/>
      <c r="DG1895" s="443"/>
      <c r="DH1895" s="443"/>
      <c r="DI1895" s="443"/>
      <c r="DJ1895" s="443"/>
      <c r="DK1895" s="443"/>
      <c r="DL1895" s="443"/>
      <c r="DM1895" s="443"/>
      <c r="DN1895" s="443"/>
      <c r="DO1895" s="443"/>
      <c r="DP1895" s="443"/>
      <c r="DQ1895" s="443"/>
      <c r="DR1895" s="443"/>
      <c r="DS1895" s="443"/>
      <c r="DT1895" s="443"/>
      <c r="DU1895" s="443"/>
      <c r="DV1895" s="443"/>
      <c r="DW1895" s="443"/>
      <c r="DX1895" s="443"/>
      <c r="DY1895" s="443"/>
      <c r="DZ1895" s="443"/>
      <c r="EA1895" s="443"/>
      <c r="EB1895" s="443"/>
      <c r="EC1895" s="443"/>
      <c r="ED1895" s="443"/>
      <c r="EE1895" s="443"/>
      <c r="EF1895" s="443"/>
      <c r="EG1895" s="443"/>
      <c r="EH1895" s="443"/>
      <c r="EI1895" s="443"/>
    </row>
    <row r="1897" spans="1:139" s="665" customFormat="1">
      <c r="A1897" s="443"/>
      <c r="B1897" s="443"/>
      <c r="C1897" s="596"/>
      <c r="D1897" s="443"/>
      <c r="G1897" s="666"/>
      <c r="I1897" s="443"/>
      <c r="J1897" s="444"/>
      <c r="K1897" s="443"/>
      <c r="L1897" s="443"/>
      <c r="M1897" s="443"/>
      <c r="N1897" s="443"/>
      <c r="O1897" s="443"/>
      <c r="P1897" s="443"/>
      <c r="Q1897" s="443"/>
      <c r="R1897" s="443"/>
      <c r="S1897" s="443"/>
      <c r="T1897" s="443"/>
      <c r="U1897" s="443"/>
      <c r="V1897" s="443"/>
      <c r="W1897" s="443"/>
      <c r="X1897" s="443"/>
      <c r="Y1897" s="443"/>
      <c r="Z1897" s="443"/>
      <c r="AA1897" s="443"/>
      <c r="AB1897" s="443"/>
      <c r="AC1897" s="443"/>
      <c r="AD1897" s="443"/>
      <c r="AE1897" s="443"/>
      <c r="AF1897" s="443"/>
      <c r="AG1897" s="443"/>
      <c r="AH1897" s="443"/>
      <c r="AI1897" s="443"/>
      <c r="AJ1897" s="443"/>
      <c r="AK1897" s="443"/>
      <c r="AL1897" s="443"/>
      <c r="AM1897" s="443"/>
      <c r="AN1897" s="443"/>
      <c r="AO1897" s="443"/>
      <c r="AP1897" s="443"/>
      <c r="AQ1897" s="443"/>
      <c r="AR1897" s="443"/>
      <c r="AS1897" s="443"/>
      <c r="AT1897" s="443"/>
      <c r="AU1897" s="443"/>
      <c r="AV1897" s="443"/>
      <c r="AW1897" s="443"/>
      <c r="AX1897" s="443"/>
      <c r="AY1897" s="443"/>
      <c r="AZ1897" s="443"/>
      <c r="BA1897" s="443"/>
      <c r="BB1897" s="443"/>
      <c r="BC1897" s="443"/>
      <c r="BD1897" s="443"/>
      <c r="BE1897" s="443"/>
      <c r="BF1897" s="443"/>
      <c r="BG1897" s="443"/>
      <c r="BH1897" s="443"/>
      <c r="BI1897" s="443"/>
      <c r="BJ1897" s="443"/>
      <c r="BK1897" s="443"/>
      <c r="BL1897" s="443"/>
      <c r="BM1897" s="443"/>
      <c r="BN1897" s="443"/>
      <c r="BO1897" s="443"/>
      <c r="BP1897" s="443"/>
      <c r="BQ1897" s="443"/>
      <c r="BR1897" s="443"/>
      <c r="BS1897" s="443"/>
      <c r="BT1897" s="443"/>
      <c r="BU1897" s="443"/>
      <c r="BV1897" s="443"/>
      <c r="BW1897" s="443"/>
      <c r="BX1897" s="443"/>
      <c r="BY1897" s="443"/>
      <c r="BZ1897" s="443"/>
      <c r="CA1897" s="443"/>
      <c r="CB1897" s="443"/>
      <c r="CC1897" s="443"/>
      <c r="CD1897" s="443"/>
      <c r="CE1897" s="443"/>
      <c r="CF1897" s="443"/>
      <c r="CG1897" s="443"/>
      <c r="CH1897" s="443"/>
      <c r="CI1897" s="443"/>
      <c r="CJ1897" s="443"/>
      <c r="CK1897" s="443"/>
      <c r="CL1897" s="443"/>
      <c r="CM1897" s="443"/>
      <c r="CN1897" s="443"/>
      <c r="CO1897" s="443"/>
      <c r="CP1897" s="443"/>
      <c r="CQ1897" s="443"/>
      <c r="CR1897" s="443"/>
      <c r="CS1897" s="443"/>
      <c r="CT1897" s="443"/>
      <c r="CU1897" s="443"/>
      <c r="CV1897" s="443"/>
      <c r="CW1897" s="443"/>
      <c r="CX1897" s="443"/>
      <c r="CY1897" s="443"/>
      <c r="CZ1897" s="443"/>
      <c r="DA1897" s="443"/>
      <c r="DB1897" s="443"/>
      <c r="DC1897" s="443"/>
      <c r="DD1897" s="443"/>
      <c r="DE1897" s="443"/>
      <c r="DF1897" s="443"/>
      <c r="DG1897" s="443"/>
      <c r="DH1897" s="443"/>
      <c r="DI1897" s="443"/>
      <c r="DJ1897" s="443"/>
      <c r="DK1897" s="443"/>
      <c r="DL1897" s="443"/>
      <c r="DM1897" s="443"/>
      <c r="DN1897" s="443"/>
      <c r="DO1897" s="443"/>
      <c r="DP1897" s="443"/>
      <c r="DQ1897" s="443"/>
      <c r="DR1897" s="443"/>
      <c r="DS1897" s="443"/>
      <c r="DT1897" s="443"/>
      <c r="DU1897" s="443"/>
      <c r="DV1897" s="443"/>
      <c r="DW1897" s="443"/>
      <c r="DX1897" s="443"/>
      <c r="DY1897" s="443"/>
      <c r="DZ1897" s="443"/>
      <c r="EA1897" s="443"/>
      <c r="EB1897" s="443"/>
      <c r="EC1897" s="443"/>
      <c r="ED1897" s="443"/>
      <c r="EE1897" s="443"/>
      <c r="EF1897" s="443"/>
      <c r="EG1897" s="443"/>
      <c r="EH1897" s="443"/>
      <c r="EI1897" s="443"/>
    </row>
    <row r="1899" spans="1:139" s="665" customFormat="1">
      <c r="A1899" s="443"/>
      <c r="B1899" s="443"/>
      <c r="C1899" s="596"/>
      <c r="D1899" s="443"/>
      <c r="G1899" s="666"/>
      <c r="I1899" s="443"/>
      <c r="J1899" s="444"/>
      <c r="K1899" s="443"/>
      <c r="L1899" s="443"/>
      <c r="M1899" s="443"/>
      <c r="N1899" s="443"/>
      <c r="O1899" s="443"/>
      <c r="P1899" s="443"/>
      <c r="Q1899" s="443"/>
      <c r="R1899" s="443"/>
      <c r="S1899" s="443"/>
      <c r="T1899" s="443"/>
      <c r="U1899" s="443"/>
      <c r="V1899" s="443"/>
      <c r="W1899" s="443"/>
      <c r="X1899" s="443"/>
      <c r="Y1899" s="443"/>
      <c r="Z1899" s="443"/>
      <c r="AA1899" s="443"/>
      <c r="AB1899" s="443"/>
      <c r="AC1899" s="443"/>
      <c r="AD1899" s="443"/>
      <c r="AE1899" s="443"/>
      <c r="AF1899" s="443"/>
      <c r="AG1899" s="443"/>
      <c r="AH1899" s="443"/>
      <c r="AI1899" s="443"/>
      <c r="AJ1899" s="443"/>
      <c r="AK1899" s="443"/>
      <c r="AL1899" s="443"/>
      <c r="AM1899" s="443"/>
      <c r="AN1899" s="443"/>
      <c r="AO1899" s="443"/>
      <c r="AP1899" s="443"/>
      <c r="AQ1899" s="443"/>
      <c r="AR1899" s="443"/>
      <c r="AS1899" s="443"/>
      <c r="AT1899" s="443"/>
      <c r="AU1899" s="443"/>
      <c r="AV1899" s="443"/>
      <c r="AW1899" s="443"/>
      <c r="AX1899" s="443"/>
      <c r="AY1899" s="443"/>
      <c r="AZ1899" s="443"/>
      <c r="BA1899" s="443"/>
      <c r="BB1899" s="443"/>
      <c r="BC1899" s="443"/>
      <c r="BD1899" s="443"/>
      <c r="BE1899" s="443"/>
      <c r="BF1899" s="443"/>
      <c r="BG1899" s="443"/>
      <c r="BH1899" s="443"/>
      <c r="BI1899" s="443"/>
      <c r="BJ1899" s="443"/>
      <c r="BK1899" s="443"/>
      <c r="BL1899" s="443"/>
      <c r="BM1899" s="443"/>
      <c r="BN1899" s="443"/>
      <c r="BO1899" s="443"/>
      <c r="BP1899" s="443"/>
      <c r="BQ1899" s="443"/>
      <c r="BR1899" s="443"/>
      <c r="BS1899" s="443"/>
      <c r="BT1899" s="443"/>
      <c r="BU1899" s="443"/>
      <c r="BV1899" s="443"/>
      <c r="BW1899" s="443"/>
      <c r="BX1899" s="443"/>
      <c r="BY1899" s="443"/>
      <c r="BZ1899" s="443"/>
      <c r="CA1899" s="443"/>
      <c r="CB1899" s="443"/>
      <c r="CC1899" s="443"/>
      <c r="CD1899" s="443"/>
      <c r="CE1899" s="443"/>
      <c r="CF1899" s="443"/>
      <c r="CG1899" s="443"/>
      <c r="CH1899" s="443"/>
      <c r="CI1899" s="443"/>
      <c r="CJ1899" s="443"/>
      <c r="CK1899" s="443"/>
      <c r="CL1899" s="443"/>
      <c r="CM1899" s="443"/>
      <c r="CN1899" s="443"/>
      <c r="CO1899" s="443"/>
      <c r="CP1899" s="443"/>
      <c r="CQ1899" s="443"/>
      <c r="CR1899" s="443"/>
      <c r="CS1899" s="443"/>
      <c r="CT1899" s="443"/>
      <c r="CU1899" s="443"/>
      <c r="CV1899" s="443"/>
      <c r="CW1899" s="443"/>
      <c r="CX1899" s="443"/>
      <c r="CY1899" s="443"/>
      <c r="CZ1899" s="443"/>
      <c r="DA1899" s="443"/>
      <c r="DB1899" s="443"/>
      <c r="DC1899" s="443"/>
      <c r="DD1899" s="443"/>
      <c r="DE1899" s="443"/>
      <c r="DF1899" s="443"/>
      <c r="DG1899" s="443"/>
      <c r="DH1899" s="443"/>
      <c r="DI1899" s="443"/>
      <c r="DJ1899" s="443"/>
      <c r="DK1899" s="443"/>
      <c r="DL1899" s="443"/>
      <c r="DM1899" s="443"/>
      <c r="DN1899" s="443"/>
      <c r="DO1899" s="443"/>
      <c r="DP1899" s="443"/>
      <c r="DQ1899" s="443"/>
      <c r="DR1899" s="443"/>
      <c r="DS1899" s="443"/>
      <c r="DT1899" s="443"/>
      <c r="DU1899" s="443"/>
      <c r="DV1899" s="443"/>
      <c r="DW1899" s="443"/>
      <c r="DX1899" s="443"/>
      <c r="DY1899" s="443"/>
      <c r="DZ1899" s="443"/>
      <c r="EA1899" s="443"/>
      <c r="EB1899" s="443"/>
      <c r="EC1899" s="443"/>
      <c r="ED1899" s="443"/>
      <c r="EE1899" s="443"/>
      <c r="EF1899" s="443"/>
      <c r="EG1899" s="443"/>
      <c r="EH1899" s="443"/>
      <c r="EI1899" s="443"/>
    </row>
    <row r="1901" spans="1:139">
      <c r="C1901" s="596"/>
    </row>
    <row r="1903" spans="1:139">
      <c r="C1903" s="596"/>
    </row>
    <row r="1905" spans="3:3">
      <c r="C1905" s="596"/>
    </row>
    <row r="1907" spans="3:3">
      <c r="C1907" s="596"/>
    </row>
    <row r="1909" spans="3:3">
      <c r="C1909" s="596"/>
    </row>
  </sheetData>
  <mergeCells count="523">
    <mergeCell ref="A1868:D1868"/>
    <mergeCell ref="A1870:D1870"/>
    <mergeCell ref="A1871:D1871"/>
    <mergeCell ref="C1577:D1577"/>
    <mergeCell ref="C1578:D1578"/>
    <mergeCell ref="C1579:D1579"/>
    <mergeCell ref="C1583:D1583"/>
    <mergeCell ref="C1584:D1584"/>
    <mergeCell ref="C1554:D1554"/>
    <mergeCell ref="C1555:D1555"/>
    <mergeCell ref="C1865:D1865"/>
    <mergeCell ref="C1840:D1840"/>
    <mergeCell ref="C1841:D1841"/>
    <mergeCell ref="C1845:D1845"/>
    <mergeCell ref="C1849:D1849"/>
    <mergeCell ref="C1852:D1852"/>
    <mergeCell ref="C1824:D1824"/>
    <mergeCell ref="C1825:D1825"/>
    <mergeCell ref="C1826:D1826"/>
    <mergeCell ref="C1831:D1831"/>
    <mergeCell ref="C1835:D1835"/>
    <mergeCell ref="C1836:D1836"/>
    <mergeCell ref="C1791:D1791"/>
    <mergeCell ref="C1792:D1792"/>
    <mergeCell ref="C1866:D1866"/>
    <mergeCell ref="C1853:D1853"/>
    <mergeCell ref="C1857:D1857"/>
    <mergeCell ref="C1858:D1858"/>
    <mergeCell ref="C1861:D1861"/>
    <mergeCell ref="C1862:D1862"/>
    <mergeCell ref="B345:B351"/>
    <mergeCell ref="C368:D368"/>
    <mergeCell ref="C369:D369"/>
    <mergeCell ref="B368:B370"/>
    <mergeCell ref="B1559:B1575"/>
    <mergeCell ref="B1577:B1581"/>
    <mergeCell ref="B1602:B1604"/>
    <mergeCell ref="B1617:B1626"/>
    <mergeCell ref="C1602:D1602"/>
    <mergeCell ref="C1603:D1603"/>
    <mergeCell ref="C1606:D1606"/>
    <mergeCell ref="C1607:D1607"/>
    <mergeCell ref="C1608:D1608"/>
    <mergeCell ref="C1613:D1613"/>
    <mergeCell ref="C1839:D1839"/>
    <mergeCell ref="C1574:D1574"/>
    <mergeCell ref="C1820:D1820"/>
    <mergeCell ref="C1821:D1821"/>
    <mergeCell ref="C1800:D1800"/>
    <mergeCell ref="C1816:D1816"/>
    <mergeCell ref="B1744:B1746"/>
    <mergeCell ref="C1744:D1744"/>
    <mergeCell ref="C1745:D1745"/>
    <mergeCell ref="C1749:D1749"/>
    <mergeCell ref="C1750:D1750"/>
    <mergeCell ref="B1753:B1754"/>
    <mergeCell ref="C1753:D1753"/>
    <mergeCell ref="C1754:D1754"/>
    <mergeCell ref="C1772:D1772"/>
    <mergeCell ref="C1777:D1777"/>
    <mergeCell ref="C1781:D1781"/>
    <mergeCell ref="C1784:D1784"/>
    <mergeCell ref="C1785:D1785"/>
    <mergeCell ref="C1790:D1790"/>
    <mergeCell ref="C1759:D1759"/>
    <mergeCell ref="C1760:D1760"/>
    <mergeCell ref="C1761:D1761"/>
    <mergeCell ref="C1765:D1765"/>
    <mergeCell ref="C1766:D1766"/>
    <mergeCell ref="C1767:D1767"/>
    <mergeCell ref="C1734:D1734"/>
    <mergeCell ref="C1735:D1735"/>
    <mergeCell ref="C1739:D1739"/>
    <mergeCell ref="B1740:B1742"/>
    <mergeCell ref="C1740:D1740"/>
    <mergeCell ref="C1741:D1741"/>
    <mergeCell ref="C1721:D1721"/>
    <mergeCell ref="C1722:D1722"/>
    <mergeCell ref="B1725:B1732"/>
    <mergeCell ref="C1725:D1725"/>
    <mergeCell ref="C1726:D1726"/>
    <mergeCell ref="C1730:D1730"/>
    <mergeCell ref="C1731:D1731"/>
    <mergeCell ref="C1706:D1706"/>
    <mergeCell ref="C1712:D1712"/>
    <mergeCell ref="B1716:B1719"/>
    <mergeCell ref="C1716:D1716"/>
    <mergeCell ref="C1717:D1717"/>
    <mergeCell ref="C1720:D1720"/>
    <mergeCell ref="C1694:D1694"/>
    <mergeCell ref="C1695:D1695"/>
    <mergeCell ref="C1696:D1696"/>
    <mergeCell ref="C1699:D1699"/>
    <mergeCell ref="C1700:D1700"/>
    <mergeCell ref="C1705:D1705"/>
    <mergeCell ref="C1685:D1685"/>
    <mergeCell ref="C1686:D1686"/>
    <mergeCell ref="C1687:D1687"/>
    <mergeCell ref="B1690:B1692"/>
    <mergeCell ref="C1690:D1690"/>
    <mergeCell ref="C1691:D1691"/>
    <mergeCell ref="C1669:D1669"/>
    <mergeCell ref="C1670:D1670"/>
    <mergeCell ref="C1673:D1673"/>
    <mergeCell ref="C1677:D1677"/>
    <mergeCell ref="B1681:B1684"/>
    <mergeCell ref="C1681:D1681"/>
    <mergeCell ref="C1682:D1682"/>
    <mergeCell ref="C1659:D1659"/>
    <mergeCell ref="C1660:D1660"/>
    <mergeCell ref="C1662:D1662"/>
    <mergeCell ref="C1663:D1663"/>
    <mergeCell ref="C1664:D1664"/>
    <mergeCell ref="C1668:D1668"/>
    <mergeCell ref="C1638:D1638"/>
    <mergeCell ref="C1639:D1639"/>
    <mergeCell ref="C1640:D1640"/>
    <mergeCell ref="C1645:D1645"/>
    <mergeCell ref="B1648:B1658"/>
    <mergeCell ref="C1648:D1648"/>
    <mergeCell ref="C1649:D1649"/>
    <mergeCell ref="C1650:D1650"/>
    <mergeCell ref="C1656:D1656"/>
    <mergeCell ref="C1617:D1617"/>
    <mergeCell ref="C1618:D1618"/>
    <mergeCell ref="C1619:D1619"/>
    <mergeCell ref="C1624:D1624"/>
    <mergeCell ref="B1628:B1636"/>
    <mergeCell ref="C1628:D1628"/>
    <mergeCell ref="C1629:D1629"/>
    <mergeCell ref="C1630:D1630"/>
    <mergeCell ref="C1635:D1635"/>
    <mergeCell ref="C1559:D1559"/>
    <mergeCell ref="C1560:D1560"/>
    <mergeCell ref="C1561:D1561"/>
    <mergeCell ref="C1568:D1568"/>
    <mergeCell ref="C1522:D1522"/>
    <mergeCell ref="C1530:D1530"/>
    <mergeCell ref="C1547:D1547"/>
    <mergeCell ref="C1550:D1550"/>
    <mergeCell ref="C1551:D1551"/>
    <mergeCell ref="C1552:D1552"/>
    <mergeCell ref="C1511:D1511"/>
    <mergeCell ref="C1512:D1512"/>
    <mergeCell ref="C1516:D1516"/>
    <mergeCell ref="C1517:D1517"/>
    <mergeCell ref="C1520:D1520"/>
    <mergeCell ref="C1521:D1521"/>
    <mergeCell ref="C1501:D1501"/>
    <mergeCell ref="C1502:D1502"/>
    <mergeCell ref="B1505:B1507"/>
    <mergeCell ref="C1505:D1505"/>
    <mergeCell ref="C1506:D1506"/>
    <mergeCell ref="C1510:D1510"/>
    <mergeCell ref="C1481:D1481"/>
    <mergeCell ref="C1482:D1482"/>
    <mergeCell ref="C1483:D1483"/>
    <mergeCell ref="C1489:D1489"/>
    <mergeCell ref="C1497:D1497"/>
    <mergeCell ref="C1458:D1458"/>
    <mergeCell ref="C1459:D1459"/>
    <mergeCell ref="C1460:D1460"/>
    <mergeCell ref="C1469:D1469"/>
    <mergeCell ref="B1474:B1478"/>
    <mergeCell ref="C1477:D1477"/>
    <mergeCell ref="C1398:D1398"/>
    <mergeCell ref="C1402:D1402"/>
    <mergeCell ref="C1443:D1443"/>
    <mergeCell ref="C1444:D1444"/>
    <mergeCell ref="C1448:D1448"/>
    <mergeCell ref="C1449:D1449"/>
    <mergeCell ref="C1363:D1363"/>
    <mergeCell ref="C1364:D1364"/>
    <mergeCell ref="C1367:D1367"/>
    <mergeCell ref="C1368:D1368"/>
    <mergeCell ref="C1369:D1369"/>
    <mergeCell ref="C1377:D1377"/>
    <mergeCell ref="C1313:D1313"/>
    <mergeCell ref="C1350:D1350"/>
    <mergeCell ref="C1351:D1351"/>
    <mergeCell ref="B1357:B1359"/>
    <mergeCell ref="C1357:D1357"/>
    <mergeCell ref="C1358:D1358"/>
    <mergeCell ref="C1295:D1295"/>
    <mergeCell ref="C1296:D1296"/>
    <mergeCell ref="C1299:D1299"/>
    <mergeCell ref="C1300:D1300"/>
    <mergeCell ref="C1301:D1301"/>
    <mergeCell ref="C1305:D1305"/>
    <mergeCell ref="C1255:D1255"/>
    <mergeCell ref="C1256:D1256"/>
    <mergeCell ref="C1283:D1283"/>
    <mergeCell ref="C1284:D1284"/>
    <mergeCell ref="C1289:D1289"/>
    <mergeCell ref="C1294:D1294"/>
    <mergeCell ref="C1214:D1214"/>
    <mergeCell ref="C1222:D1222"/>
    <mergeCell ref="C1244:D1244"/>
    <mergeCell ref="C1247:D1247"/>
    <mergeCell ref="C1250:D1250"/>
    <mergeCell ref="C1251:D1251"/>
    <mergeCell ref="C1204:D1204"/>
    <mergeCell ref="B1208:B1210"/>
    <mergeCell ref="C1208:D1208"/>
    <mergeCell ref="C1209:D1209"/>
    <mergeCell ref="C1212:D1212"/>
    <mergeCell ref="C1213:D1213"/>
    <mergeCell ref="C1194:D1194"/>
    <mergeCell ref="C1195:D1195"/>
    <mergeCell ref="C1198:D1198"/>
    <mergeCell ref="C1200:D1200"/>
    <mergeCell ref="C1201:D1201"/>
    <mergeCell ref="C1203:D1203"/>
    <mergeCell ref="C1180:D1180"/>
    <mergeCell ref="C1181:D1181"/>
    <mergeCell ref="C1187:D1187"/>
    <mergeCell ref="C1189:D1189"/>
    <mergeCell ref="C1190:D1190"/>
    <mergeCell ref="C1193:D1193"/>
    <mergeCell ref="C1165:D1165"/>
    <mergeCell ref="C1170:D1170"/>
    <mergeCell ref="B1175:B1177"/>
    <mergeCell ref="C1175:D1175"/>
    <mergeCell ref="C1176:D1176"/>
    <mergeCell ref="C1179:D1179"/>
    <mergeCell ref="C1156:D1156"/>
    <mergeCell ref="B1159:B1161"/>
    <mergeCell ref="C1159:D1159"/>
    <mergeCell ref="C1160:D1160"/>
    <mergeCell ref="C1163:D1163"/>
    <mergeCell ref="C1164:D1164"/>
    <mergeCell ref="C1147:D1147"/>
    <mergeCell ref="C1148:D1148"/>
    <mergeCell ref="B1149:B1153"/>
    <mergeCell ref="C1149:D1149"/>
    <mergeCell ref="C1152:D1152"/>
    <mergeCell ref="C1155:D1155"/>
    <mergeCell ref="C1136:D1136"/>
    <mergeCell ref="B1139:B1141"/>
    <mergeCell ref="C1139:D1139"/>
    <mergeCell ref="C1140:D1140"/>
    <mergeCell ref="B1143:B1145"/>
    <mergeCell ref="C1143:D1143"/>
    <mergeCell ref="C1144:D1144"/>
    <mergeCell ref="C1124:D1124"/>
    <mergeCell ref="C1127:D1127"/>
    <mergeCell ref="C1128:D1128"/>
    <mergeCell ref="C1131:D1131"/>
    <mergeCell ref="C1132:D1132"/>
    <mergeCell ref="C1135:D1135"/>
    <mergeCell ref="C1110:D1110"/>
    <mergeCell ref="C1113:D1113"/>
    <mergeCell ref="C1114:D1114"/>
    <mergeCell ref="C1118:D1118"/>
    <mergeCell ref="C1119:D1119"/>
    <mergeCell ref="C1123:D1123"/>
    <mergeCell ref="C1070:D1070"/>
    <mergeCell ref="C1098:D1098"/>
    <mergeCell ref="C1099:D1099"/>
    <mergeCell ref="C1105:D1105"/>
    <mergeCell ref="C1106:D1106"/>
    <mergeCell ref="C1107:D1107"/>
    <mergeCell ref="C1045:D1045"/>
    <mergeCell ref="C1046:D1046"/>
    <mergeCell ref="C1047:D1047"/>
    <mergeCell ref="C1053:D1053"/>
    <mergeCell ref="C1059:D1059"/>
    <mergeCell ref="C1065:D1065"/>
    <mergeCell ref="C1023:D1023"/>
    <mergeCell ref="C1035:D1035"/>
    <mergeCell ref="C1036:D1036"/>
    <mergeCell ref="C1039:D1039"/>
    <mergeCell ref="C1040:D1040"/>
    <mergeCell ref="C1041:D1041"/>
    <mergeCell ref="C990:D990"/>
    <mergeCell ref="C993:D993"/>
    <mergeCell ref="C994:D994"/>
    <mergeCell ref="C995:D995"/>
    <mergeCell ref="C1003:D1003"/>
    <mergeCell ref="C1019:D1019"/>
    <mergeCell ref="C926:D926"/>
    <mergeCell ref="C927:D927"/>
    <mergeCell ref="C937:D937"/>
    <mergeCell ref="C953:D953"/>
    <mergeCell ref="C957:D957"/>
    <mergeCell ref="C989:D989"/>
    <mergeCell ref="C886:D886"/>
    <mergeCell ref="C896:D896"/>
    <mergeCell ref="C915:D915"/>
    <mergeCell ref="C920:D920"/>
    <mergeCell ref="C921:D921"/>
    <mergeCell ref="C925:D925"/>
    <mergeCell ref="C866:D866"/>
    <mergeCell ref="C867:D867"/>
    <mergeCell ref="C874:D874"/>
    <mergeCell ref="C880:D880"/>
    <mergeCell ref="C884:D884"/>
    <mergeCell ref="C885:D885"/>
    <mergeCell ref="C835:D835"/>
    <mergeCell ref="C836:D836"/>
    <mergeCell ref="C846:D846"/>
    <mergeCell ref="B859:B862"/>
    <mergeCell ref="C861:D861"/>
    <mergeCell ref="C865:D865"/>
    <mergeCell ref="C825:D825"/>
    <mergeCell ref="C826:D826"/>
    <mergeCell ref="B830:B832"/>
    <mergeCell ref="C830:D830"/>
    <mergeCell ref="C831:D831"/>
    <mergeCell ref="C834:D834"/>
    <mergeCell ref="B815:B817"/>
    <mergeCell ref="C815:D815"/>
    <mergeCell ref="C816:D816"/>
    <mergeCell ref="C820:D820"/>
    <mergeCell ref="C821:D821"/>
    <mergeCell ref="C822:D822"/>
    <mergeCell ref="C805:D805"/>
    <mergeCell ref="C806:D806"/>
    <mergeCell ref="C807:D807"/>
    <mergeCell ref="B811:B813"/>
    <mergeCell ref="C811:D811"/>
    <mergeCell ref="C812:D812"/>
    <mergeCell ref="C793:D793"/>
    <mergeCell ref="C794:D794"/>
    <mergeCell ref="C796:D796"/>
    <mergeCell ref="C797:D797"/>
    <mergeCell ref="C798:D798"/>
    <mergeCell ref="B801:B803"/>
    <mergeCell ref="C801:D801"/>
    <mergeCell ref="C802:D802"/>
    <mergeCell ref="B785:B787"/>
    <mergeCell ref="C785:D785"/>
    <mergeCell ref="C786:D786"/>
    <mergeCell ref="B789:B791"/>
    <mergeCell ref="C789:D789"/>
    <mergeCell ref="C790:D790"/>
    <mergeCell ref="C743:D743"/>
    <mergeCell ref="C759:D759"/>
    <mergeCell ref="C760:D760"/>
    <mergeCell ref="C778:D778"/>
    <mergeCell ref="C779:D779"/>
    <mergeCell ref="B781:B783"/>
    <mergeCell ref="C781:D781"/>
    <mergeCell ref="C782:D782"/>
    <mergeCell ref="C666:D666"/>
    <mergeCell ref="C679:D679"/>
    <mergeCell ref="C682:D682"/>
    <mergeCell ref="C684:D684"/>
    <mergeCell ref="C685:D685"/>
    <mergeCell ref="C742:D742"/>
    <mergeCell ref="C649:D649"/>
    <mergeCell ref="C657:D657"/>
    <mergeCell ref="A659:A660"/>
    <mergeCell ref="C660:D660"/>
    <mergeCell ref="C661:D661"/>
    <mergeCell ref="C662:D662"/>
    <mergeCell ref="C625:D625"/>
    <mergeCell ref="C637:D637"/>
    <mergeCell ref="C638:D638"/>
    <mergeCell ref="C641:D641"/>
    <mergeCell ref="C642:D642"/>
    <mergeCell ref="C643:D643"/>
    <mergeCell ref="C601:D601"/>
    <mergeCell ref="C605:D605"/>
    <mergeCell ref="C606:D606"/>
    <mergeCell ref="C607:D607"/>
    <mergeCell ref="C612:D612"/>
    <mergeCell ref="C621:D621"/>
    <mergeCell ref="C574:D574"/>
    <mergeCell ref="B578:B590"/>
    <mergeCell ref="C585:D585"/>
    <mergeCell ref="B594:B598"/>
    <mergeCell ref="C594:D594"/>
    <mergeCell ref="C595:D595"/>
    <mergeCell ref="C596:D596"/>
    <mergeCell ref="C491:D491"/>
    <mergeCell ref="C492:D492"/>
    <mergeCell ref="C500:D500"/>
    <mergeCell ref="C524:D524"/>
    <mergeCell ref="C528:D528"/>
    <mergeCell ref="C573:D573"/>
    <mergeCell ref="C475:D475"/>
    <mergeCell ref="C476:D476"/>
    <mergeCell ref="C477:D477"/>
    <mergeCell ref="C480:D480"/>
    <mergeCell ref="C487:D487"/>
    <mergeCell ref="C490:D490"/>
    <mergeCell ref="C458:D458"/>
    <mergeCell ref="C459:D459"/>
    <mergeCell ref="C460:D460"/>
    <mergeCell ref="B465:B469"/>
    <mergeCell ref="C465:D465"/>
    <mergeCell ref="C466:D466"/>
    <mergeCell ref="C467:D467"/>
    <mergeCell ref="C436:D436"/>
    <mergeCell ref="C437:D437"/>
    <mergeCell ref="C438:D438"/>
    <mergeCell ref="C441:D441"/>
    <mergeCell ref="C445:D445"/>
    <mergeCell ref="C419:D419"/>
    <mergeCell ref="C420:D420"/>
    <mergeCell ref="B427:B434"/>
    <mergeCell ref="C427:D427"/>
    <mergeCell ref="C428:D428"/>
    <mergeCell ref="C429:D429"/>
    <mergeCell ref="C431:D431"/>
    <mergeCell ref="C432:D432"/>
    <mergeCell ref="C394:D394"/>
    <mergeCell ref="C395:D395"/>
    <mergeCell ref="C396:D396"/>
    <mergeCell ref="C408:D408"/>
    <mergeCell ref="C412:D412"/>
    <mergeCell ref="C413:D413"/>
    <mergeCell ref="C377:D377"/>
    <mergeCell ref="C378:D378"/>
    <mergeCell ref="C381:D381"/>
    <mergeCell ref="C382:D382"/>
    <mergeCell ref="C383:D383"/>
    <mergeCell ref="C388:D388"/>
    <mergeCell ref="C347:D347"/>
    <mergeCell ref="C357:D357"/>
    <mergeCell ref="C360:D360"/>
    <mergeCell ref="C361:D361"/>
    <mergeCell ref="C372:D372"/>
    <mergeCell ref="C373:D373"/>
    <mergeCell ref="C333:D333"/>
    <mergeCell ref="C334:D334"/>
    <mergeCell ref="C340:D340"/>
    <mergeCell ref="C341:D341"/>
    <mergeCell ref="C345:D345"/>
    <mergeCell ref="C346:D346"/>
    <mergeCell ref="C318:D318"/>
    <mergeCell ref="C322:D322"/>
    <mergeCell ref="C323:D323"/>
    <mergeCell ref="C324:D324"/>
    <mergeCell ref="C329:D329"/>
    <mergeCell ref="C332:D332"/>
    <mergeCell ref="B304:B307"/>
    <mergeCell ref="C304:D304"/>
    <mergeCell ref="C305:D305"/>
    <mergeCell ref="C309:D309"/>
    <mergeCell ref="C310:D310"/>
    <mergeCell ref="C311:D311"/>
    <mergeCell ref="C291:D291"/>
    <mergeCell ref="C292:D292"/>
    <mergeCell ref="C295:D295"/>
    <mergeCell ref="C296:D296"/>
    <mergeCell ref="C299:D299"/>
    <mergeCell ref="C300:D300"/>
    <mergeCell ref="C262:D262"/>
    <mergeCell ref="C274:D274"/>
    <mergeCell ref="C283:D283"/>
    <mergeCell ref="C284:D284"/>
    <mergeCell ref="C287:D287"/>
    <mergeCell ref="C288:D288"/>
    <mergeCell ref="C238:D238"/>
    <mergeCell ref="C241:D241"/>
    <mergeCell ref="C242:D242"/>
    <mergeCell ref="C243:D243"/>
    <mergeCell ref="C244:D244"/>
    <mergeCell ref="C261:D261"/>
    <mergeCell ref="C212:D212"/>
    <mergeCell ref="C221:D221"/>
    <mergeCell ref="C222:D222"/>
    <mergeCell ref="C223:D223"/>
    <mergeCell ref="C226:D226"/>
    <mergeCell ref="B233:B236"/>
    <mergeCell ref="C233:D233"/>
    <mergeCell ref="C234:D234"/>
    <mergeCell ref="C235:D235"/>
    <mergeCell ref="C197:D197"/>
    <mergeCell ref="C202:D202"/>
    <mergeCell ref="C203:D203"/>
    <mergeCell ref="C172:D172"/>
    <mergeCell ref="C173:D173"/>
    <mergeCell ref="C174:D174"/>
    <mergeCell ref="C179:D179"/>
    <mergeCell ref="C184:D184"/>
    <mergeCell ref="C185:D185"/>
    <mergeCell ref="C167:D167"/>
    <mergeCell ref="C168:D168"/>
    <mergeCell ref="C99:D99"/>
    <mergeCell ref="C105:D105"/>
    <mergeCell ref="C106:D106"/>
    <mergeCell ref="C114:D114"/>
    <mergeCell ref="C190:D190"/>
    <mergeCell ref="C195:D195"/>
    <mergeCell ref="C196:D196"/>
    <mergeCell ref="C82:D82"/>
    <mergeCell ref="C38:D38"/>
    <mergeCell ref="C39:D39"/>
    <mergeCell ref="C144:D144"/>
    <mergeCell ref="C145:D145"/>
    <mergeCell ref="C149:D149"/>
    <mergeCell ref="C166:D166"/>
    <mergeCell ref="C41:D41"/>
    <mergeCell ref="C42:D42"/>
    <mergeCell ref="C43:D43"/>
    <mergeCell ref="C46:D46"/>
    <mergeCell ref="A1874:D1874"/>
    <mergeCell ref="A1877:D1877"/>
    <mergeCell ref="A1882:D1882"/>
    <mergeCell ref="A1:H1"/>
    <mergeCell ref="B8:B10"/>
    <mergeCell ref="C8:D8"/>
    <mergeCell ref="C9:D9"/>
    <mergeCell ref="C10:D10"/>
    <mergeCell ref="C18:D18"/>
    <mergeCell ref="B1448:B1455"/>
    <mergeCell ref="B118:B120"/>
    <mergeCell ref="C118:D118"/>
    <mergeCell ref="C119:D119"/>
    <mergeCell ref="C90:D90"/>
    <mergeCell ref="C91:D91"/>
    <mergeCell ref="C92:D92"/>
    <mergeCell ref="C97:D97"/>
    <mergeCell ref="C98:D98"/>
    <mergeCell ref="B81:B95"/>
    <mergeCell ref="C83:D83"/>
    <mergeCell ref="C86:D86"/>
    <mergeCell ref="C87:D87"/>
    <mergeCell ref="C47:D47"/>
    <mergeCell ref="C81:D81"/>
  </mergeCells>
  <pageMargins left="0.25" right="0.25" top="0.75" bottom="0.75" header="0.3" footer="0.3"/>
  <pageSetup paperSize="9" scale="92" fitToHeight="0" orientation="landscape" horizontalDpi="300" verticalDpi="300" r:id="rId1"/>
  <headerFooter>
    <oddFooter>Strona &amp;P z &amp;N</oddFooter>
  </headerFooter>
  <rowBreaks count="26" manualBreakCount="26">
    <brk id="79" max="7" man="1"/>
    <brk id="156" max="7" man="1"/>
    <brk id="302" max="7" man="1"/>
    <brk id="330" max="7" man="1"/>
    <brk id="359" max="7" man="1"/>
    <brk id="444" max="7" man="1"/>
    <brk id="473" max="7" man="1"/>
    <brk id="571" max="7" man="1"/>
    <brk id="664" max="7" man="1"/>
    <brk id="741" max="7" man="1"/>
    <brk id="919" max="7" man="1"/>
    <brk id="1037" max="7" man="1"/>
    <brk id="1130" max="7" man="1"/>
    <brk id="1154" max="7" man="1"/>
    <brk id="1174" max="7" man="1"/>
    <brk id="1200" max="7" man="1"/>
    <brk id="1288" max="7" man="1"/>
    <brk id="1354" max="7" man="1"/>
    <brk id="1442" max="7" man="1"/>
    <brk id="1554" max="7" man="1"/>
    <brk id="1581" max="7" man="1"/>
    <brk id="1672" max="7" man="1"/>
    <brk id="1694" max="7" man="1"/>
    <brk id="1759" max="7" man="1"/>
    <brk id="1783" max="7" man="1"/>
    <brk id="183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8"/>
  <sheetViews>
    <sheetView view="pageBreakPreview" zoomScale="110" zoomScaleNormal="130" zoomScaleSheetLayoutView="110" workbookViewId="0">
      <pane xSplit="3" ySplit="2" topLeftCell="D3" activePane="bottomRight" state="frozen"/>
      <selection activeCell="O75" sqref="O75"/>
      <selection pane="topRight" activeCell="O75" sqref="O75"/>
      <selection pane="bottomLeft" activeCell="O75" sqref="O75"/>
      <selection pane="bottomRight" sqref="A1:H1"/>
    </sheetView>
  </sheetViews>
  <sheetFormatPr defaultColWidth="9.140625" defaultRowHeight="12.75"/>
  <cols>
    <col min="1" max="1" width="7.7109375" style="72" customWidth="1"/>
    <col min="2" max="2" width="8.85546875" style="72" bestFit="1" customWidth="1"/>
    <col min="3" max="3" width="10.5703125" style="72" customWidth="1"/>
    <col min="4" max="4" width="41.85546875" style="72" customWidth="1"/>
    <col min="5" max="5" width="16.7109375" style="72" customWidth="1"/>
    <col min="6" max="6" width="13.7109375" style="72" customWidth="1"/>
    <col min="7" max="7" width="14.42578125" style="72" customWidth="1"/>
    <col min="8" max="8" width="13.7109375" style="72" customWidth="1"/>
    <col min="9" max="9" width="12.28515625" style="71" customWidth="1"/>
    <col min="10" max="16384" width="9.140625" style="70"/>
  </cols>
  <sheetData>
    <row r="1" spans="1:12" ht="35.25" customHeight="1">
      <c r="A1" s="5365" t="s">
        <v>452</v>
      </c>
      <c r="B1" s="5365"/>
      <c r="C1" s="5365"/>
      <c r="D1" s="5365"/>
      <c r="E1" s="5365"/>
      <c r="F1" s="5365"/>
      <c r="G1" s="5365"/>
      <c r="H1" s="5365"/>
    </row>
    <row r="2" spans="1:12" ht="18.75" customHeight="1" thickBot="1">
      <c r="A2" s="5366" t="s">
        <v>451</v>
      </c>
      <c r="B2" s="5366"/>
      <c r="C2" s="5366"/>
      <c r="D2" s="5366"/>
      <c r="E2" s="5366"/>
      <c r="F2" s="5366"/>
      <c r="G2" s="70"/>
      <c r="H2" s="686" t="s">
        <v>0</v>
      </c>
    </row>
    <row r="3" spans="1:12" ht="48" customHeight="1" thickBot="1">
      <c r="A3" s="1236" t="s">
        <v>1</v>
      </c>
      <c r="B3" s="1236" t="s">
        <v>442</v>
      </c>
      <c r="C3" s="1236" t="s">
        <v>4</v>
      </c>
      <c r="D3" s="1236" t="s">
        <v>450</v>
      </c>
      <c r="E3" s="427" t="s">
        <v>5</v>
      </c>
      <c r="F3" s="427" t="s">
        <v>6</v>
      </c>
      <c r="G3" s="427" t="s">
        <v>7</v>
      </c>
      <c r="H3" s="427" t="s">
        <v>449</v>
      </c>
    </row>
    <row r="4" spans="1:12" ht="10.5" customHeight="1" thickBot="1">
      <c r="A4" s="1237" t="s">
        <v>9</v>
      </c>
      <c r="B4" s="1237" t="s">
        <v>10</v>
      </c>
      <c r="C4" s="1237" t="s">
        <v>11</v>
      </c>
      <c r="D4" s="1237" t="s">
        <v>12</v>
      </c>
      <c r="E4" s="1237" t="s">
        <v>13</v>
      </c>
      <c r="F4" s="1237" t="s">
        <v>14</v>
      </c>
      <c r="G4" s="1237" t="s">
        <v>15</v>
      </c>
      <c r="H4" s="1237" t="s">
        <v>16</v>
      </c>
    </row>
    <row r="5" spans="1:12" ht="23.25" customHeight="1">
      <c r="A5" s="5367" t="s">
        <v>17</v>
      </c>
      <c r="B5" s="5369" t="s">
        <v>18</v>
      </c>
      <c r="C5" s="5369"/>
      <c r="D5" s="5369"/>
      <c r="E5" s="1231">
        <f>SUM(E6,E9)</f>
        <v>3629000</v>
      </c>
      <c r="F5" s="1231">
        <f>SUM(F6,F9)</f>
        <v>3561042</v>
      </c>
      <c r="G5" s="1232">
        <f>SUM(G6,G9)</f>
        <v>2553703.08</v>
      </c>
      <c r="H5" s="1233">
        <f t="shared" ref="H5:H21" si="0">G5/F5</f>
        <v>0.71712242652571923</v>
      </c>
    </row>
    <row r="6" spans="1:12" s="71" customFormat="1" hidden="1">
      <c r="A6" s="5368"/>
      <c r="B6" s="5370" t="s">
        <v>441</v>
      </c>
      <c r="C6" s="5373" t="s">
        <v>377</v>
      </c>
      <c r="D6" s="5373"/>
      <c r="E6" s="678">
        <f>SUM(E7:E8)</f>
        <v>0</v>
      </c>
      <c r="F6" s="678">
        <f>SUM(F7:F8)</f>
        <v>0</v>
      </c>
      <c r="G6" s="679">
        <f>SUM(G7:G8)</f>
        <v>0</v>
      </c>
      <c r="H6" s="1234" t="e">
        <f t="shared" si="0"/>
        <v>#DIV/0!</v>
      </c>
      <c r="J6" s="70"/>
      <c r="K6" s="70"/>
      <c r="L6" s="70"/>
    </row>
    <row r="7" spans="1:12" s="71" customFormat="1" hidden="1">
      <c r="A7" s="5368"/>
      <c r="B7" s="5371"/>
      <c r="C7" s="681" t="s">
        <v>445</v>
      </c>
      <c r="D7" s="1241"/>
      <c r="E7" s="683">
        <v>0</v>
      </c>
      <c r="F7" s="683"/>
      <c r="G7" s="684"/>
      <c r="H7" s="1235" t="e">
        <f t="shared" si="0"/>
        <v>#DIV/0!</v>
      </c>
      <c r="J7" s="70"/>
      <c r="K7" s="70"/>
      <c r="L7" s="70"/>
    </row>
    <row r="8" spans="1:12" s="71" customFormat="1" hidden="1">
      <c r="A8" s="5368"/>
      <c r="B8" s="5372"/>
      <c r="C8" s="681" t="s">
        <v>448</v>
      </c>
      <c r="D8" s="1241"/>
      <c r="E8" s="683">
        <v>0</v>
      </c>
      <c r="F8" s="683"/>
      <c r="G8" s="684"/>
      <c r="H8" s="1235" t="e">
        <f t="shared" si="0"/>
        <v>#DIV/0!</v>
      </c>
      <c r="J8" s="70"/>
      <c r="K8" s="70"/>
      <c r="L8" s="70"/>
    </row>
    <row r="9" spans="1:12" s="71" customFormat="1">
      <c r="A9" s="5368"/>
      <c r="B9" s="5374" t="s">
        <v>43</v>
      </c>
      <c r="C9" s="5373" t="s">
        <v>44</v>
      </c>
      <c r="D9" s="5373"/>
      <c r="E9" s="678">
        <f>SUM(E10)</f>
        <v>3629000</v>
      </c>
      <c r="F9" s="678">
        <f>SUM(F10)</f>
        <v>3561042</v>
      </c>
      <c r="G9" s="679">
        <f>SUM(G10)</f>
        <v>2553703.08</v>
      </c>
      <c r="H9" s="1234">
        <f t="shared" si="0"/>
        <v>0.71712242652571923</v>
      </c>
      <c r="J9" s="70"/>
      <c r="K9" s="70"/>
      <c r="L9" s="70"/>
    </row>
    <row r="10" spans="1:12" s="71" customFormat="1">
      <c r="A10" s="5368"/>
      <c r="B10" s="5374"/>
      <c r="C10" s="681" t="s">
        <v>121</v>
      </c>
      <c r="D10" s="1242"/>
      <c r="E10" s="683">
        <v>3629000</v>
      </c>
      <c r="F10" s="683">
        <v>3561042</v>
      </c>
      <c r="G10" s="684">
        <v>2553703.08</v>
      </c>
      <c r="H10" s="1235">
        <f t="shared" si="0"/>
        <v>0.71712242652571923</v>
      </c>
      <c r="J10" s="70"/>
      <c r="K10" s="70"/>
      <c r="L10" s="70"/>
    </row>
    <row r="11" spans="1:12" s="71" customFormat="1" ht="23.25" customHeight="1">
      <c r="A11" s="5375" t="s">
        <v>440</v>
      </c>
      <c r="B11" s="5377" t="s">
        <v>70</v>
      </c>
      <c r="C11" s="5377"/>
      <c r="D11" s="5377"/>
      <c r="E11" s="687">
        <f>SUM(E12,E14)</f>
        <v>51907000</v>
      </c>
      <c r="F11" s="687">
        <f>SUM(F12,F14)</f>
        <v>72287443</v>
      </c>
      <c r="G11" s="688">
        <f>SUM(G12,G14)</f>
        <v>72260771.420000002</v>
      </c>
      <c r="H11" s="689">
        <f t="shared" si="0"/>
        <v>0.99963103439694223</v>
      </c>
      <c r="J11" s="70"/>
      <c r="K11" s="70"/>
      <c r="L11" s="70"/>
    </row>
    <row r="12" spans="1:12" s="71" customFormat="1">
      <c r="A12" s="5376"/>
      <c r="B12" s="5374" t="s">
        <v>437</v>
      </c>
      <c r="C12" s="5373" t="s">
        <v>86</v>
      </c>
      <c r="D12" s="5373"/>
      <c r="E12" s="678">
        <f>SUM(E13)</f>
        <v>51604000</v>
      </c>
      <c r="F12" s="678">
        <f>SUM(F13)</f>
        <v>71978005</v>
      </c>
      <c r="G12" s="679">
        <f>SUM(G13)</f>
        <v>71978004.629999995</v>
      </c>
      <c r="H12" s="680">
        <f t="shared" si="0"/>
        <v>0.99999999485954072</v>
      </c>
      <c r="J12" s="70"/>
      <c r="K12" s="70"/>
      <c r="L12" s="70"/>
    </row>
    <row r="13" spans="1:12" s="71" customFormat="1">
      <c r="A13" s="5376"/>
      <c r="B13" s="5374"/>
      <c r="C13" s="681" t="s">
        <v>121</v>
      </c>
      <c r="D13" s="682"/>
      <c r="E13" s="683">
        <v>51604000</v>
      </c>
      <c r="F13" s="683">
        <v>71978005</v>
      </c>
      <c r="G13" s="684">
        <v>71978004.629999995</v>
      </c>
      <c r="H13" s="685">
        <f t="shared" si="0"/>
        <v>0.99999999485954072</v>
      </c>
      <c r="J13" s="70"/>
      <c r="K13" s="70"/>
      <c r="L13" s="70"/>
    </row>
    <row r="14" spans="1:12" s="71" customFormat="1">
      <c r="A14" s="5376"/>
      <c r="B14" s="5374" t="s">
        <v>422</v>
      </c>
      <c r="C14" s="5373" t="s">
        <v>44</v>
      </c>
      <c r="D14" s="5373"/>
      <c r="E14" s="678">
        <f>SUM(E15)</f>
        <v>303000</v>
      </c>
      <c r="F14" s="678">
        <f>SUM(F15)</f>
        <v>309438</v>
      </c>
      <c r="G14" s="679">
        <f>SUM(G15)</f>
        <v>282766.78999999998</v>
      </c>
      <c r="H14" s="680">
        <f t="shared" si="0"/>
        <v>0.91380758019377062</v>
      </c>
      <c r="J14" s="70"/>
      <c r="K14" s="70"/>
      <c r="L14" s="70"/>
    </row>
    <row r="15" spans="1:12" s="71" customFormat="1">
      <c r="A15" s="5367"/>
      <c r="B15" s="5374"/>
      <c r="C15" s="681" t="s">
        <v>121</v>
      </c>
      <c r="D15" s="682"/>
      <c r="E15" s="683">
        <v>303000</v>
      </c>
      <c r="F15" s="683">
        <v>309438</v>
      </c>
      <c r="G15" s="684">
        <v>282766.78999999998</v>
      </c>
      <c r="H15" s="685">
        <f t="shared" si="0"/>
        <v>0.91380758019377062</v>
      </c>
      <c r="J15" s="70"/>
      <c r="K15" s="70"/>
      <c r="L15" s="70"/>
    </row>
    <row r="16" spans="1:12" s="71" customFormat="1" ht="23.25" customHeight="1">
      <c r="A16" s="5375" t="s">
        <v>421</v>
      </c>
      <c r="B16" s="5377" t="s">
        <v>105</v>
      </c>
      <c r="C16" s="5377"/>
      <c r="D16" s="5377"/>
      <c r="E16" s="687">
        <f t="shared" ref="E16:G17" si="1">SUM(E17)</f>
        <v>58000</v>
      </c>
      <c r="F16" s="687">
        <f t="shared" si="1"/>
        <v>60614</v>
      </c>
      <c r="G16" s="688">
        <f t="shared" si="1"/>
        <v>60614</v>
      </c>
      <c r="H16" s="689">
        <f t="shared" si="0"/>
        <v>1</v>
      </c>
      <c r="J16" s="70"/>
      <c r="K16" s="70"/>
      <c r="L16" s="70"/>
    </row>
    <row r="17" spans="1:12" s="71" customFormat="1">
      <c r="A17" s="5376"/>
      <c r="B17" s="5374" t="s">
        <v>419</v>
      </c>
      <c r="C17" s="5373" t="s">
        <v>44</v>
      </c>
      <c r="D17" s="5373"/>
      <c r="E17" s="678">
        <f t="shared" si="1"/>
        <v>58000</v>
      </c>
      <c r="F17" s="678">
        <f t="shared" si="1"/>
        <v>60614</v>
      </c>
      <c r="G17" s="679">
        <f t="shared" si="1"/>
        <v>60614</v>
      </c>
      <c r="H17" s="680">
        <f t="shared" si="0"/>
        <v>1</v>
      </c>
      <c r="J17" s="70"/>
      <c r="K17" s="70"/>
      <c r="L17" s="70"/>
    </row>
    <row r="18" spans="1:12" s="71" customFormat="1">
      <c r="A18" s="5376"/>
      <c r="B18" s="5370"/>
      <c r="C18" s="1021" t="s">
        <v>121</v>
      </c>
      <c r="D18" s="1022"/>
      <c r="E18" s="1023">
        <v>58000</v>
      </c>
      <c r="F18" s="1023">
        <v>60614</v>
      </c>
      <c r="G18" s="1024">
        <v>60614</v>
      </c>
      <c r="H18" s="1025">
        <f t="shared" si="0"/>
        <v>1</v>
      </c>
      <c r="J18" s="70"/>
      <c r="K18" s="70"/>
      <c r="L18" s="70"/>
    </row>
    <row r="19" spans="1:12" s="71" customFormat="1" ht="23.25" customHeight="1">
      <c r="A19" s="5375" t="s">
        <v>414</v>
      </c>
      <c r="B19" s="5377" t="s">
        <v>117</v>
      </c>
      <c r="C19" s="5377"/>
      <c r="D19" s="5377"/>
      <c r="E19" s="687">
        <f>SUM(E20,E22)</f>
        <v>347000</v>
      </c>
      <c r="F19" s="687">
        <f>SUM(F20,F22)</f>
        <v>359301</v>
      </c>
      <c r="G19" s="688">
        <f>SUM(G20,G22)</f>
        <v>359301</v>
      </c>
      <c r="H19" s="689">
        <f t="shared" si="0"/>
        <v>1</v>
      </c>
      <c r="J19" s="70"/>
      <c r="K19" s="70"/>
      <c r="L19" s="70"/>
    </row>
    <row r="20" spans="1:12" s="71" customFormat="1">
      <c r="A20" s="5376"/>
      <c r="B20" s="5374" t="s">
        <v>411</v>
      </c>
      <c r="C20" s="5373" t="s">
        <v>447</v>
      </c>
      <c r="D20" s="5373"/>
      <c r="E20" s="678">
        <f>SUM(E21)</f>
        <v>347000</v>
      </c>
      <c r="F20" s="678">
        <f>SUM(F21)</f>
        <v>359301</v>
      </c>
      <c r="G20" s="679">
        <f>SUM(G21)</f>
        <v>359301</v>
      </c>
      <c r="H20" s="680">
        <f t="shared" si="0"/>
        <v>1</v>
      </c>
      <c r="J20" s="70"/>
      <c r="K20" s="70"/>
      <c r="L20" s="70"/>
    </row>
    <row r="21" spans="1:12" s="71" customFormat="1">
      <c r="A21" s="5376"/>
      <c r="B21" s="5374"/>
      <c r="C21" s="681" t="s">
        <v>121</v>
      </c>
      <c r="D21" s="682"/>
      <c r="E21" s="683">
        <v>347000</v>
      </c>
      <c r="F21" s="683">
        <v>359301</v>
      </c>
      <c r="G21" s="684">
        <v>359301</v>
      </c>
      <c r="H21" s="685">
        <f t="shared" si="0"/>
        <v>1</v>
      </c>
      <c r="J21" s="70"/>
      <c r="K21" s="70"/>
      <c r="L21" s="70"/>
    </row>
    <row r="22" spans="1:12" s="71" customFormat="1" hidden="1">
      <c r="A22" s="5376"/>
      <c r="B22" s="5370" t="s">
        <v>446</v>
      </c>
      <c r="C22" s="5373" t="s">
        <v>44</v>
      </c>
      <c r="D22" s="5373"/>
      <c r="E22" s="678">
        <f>SUM(E23:E23)</f>
        <v>0</v>
      </c>
      <c r="F22" s="159">
        <f>SUM(F23:F23)</f>
        <v>0</v>
      </c>
      <c r="G22" s="160">
        <f>SUM(G23:G23)</f>
        <v>0</v>
      </c>
      <c r="H22" s="163"/>
      <c r="J22" s="70"/>
      <c r="K22" s="70"/>
      <c r="L22" s="70"/>
    </row>
    <row r="23" spans="1:12" s="71" customFormat="1" hidden="1">
      <c r="A23" s="5376"/>
      <c r="B23" s="5371"/>
      <c r="C23" s="681" t="s">
        <v>121</v>
      </c>
      <c r="D23" s="682"/>
      <c r="E23" s="683"/>
      <c r="F23" s="161"/>
      <c r="G23" s="162"/>
      <c r="H23" s="164"/>
      <c r="J23" s="70"/>
      <c r="K23" s="70"/>
      <c r="L23" s="70"/>
    </row>
    <row r="24" spans="1:12" s="71" customFormat="1" ht="23.25" customHeight="1">
      <c r="A24" s="5378" t="s">
        <v>408</v>
      </c>
      <c r="B24" s="5381" t="s">
        <v>132</v>
      </c>
      <c r="C24" s="5381"/>
      <c r="D24" s="5381"/>
      <c r="E24" s="1243">
        <f>SUM(E25,E27,E29)</f>
        <v>550000</v>
      </c>
      <c r="F24" s="1243">
        <f>SUM(F25,F27,F29)</f>
        <v>572818</v>
      </c>
      <c r="G24" s="1244">
        <f>SUM(G25,G27,G29)</f>
        <v>568505.27</v>
      </c>
      <c r="H24" s="1245">
        <f t="shared" ref="H24:H52" si="2">G24/F24</f>
        <v>0.99247102919251839</v>
      </c>
      <c r="J24" s="70"/>
      <c r="K24" s="70"/>
      <c r="L24" s="70"/>
    </row>
    <row r="25" spans="1:12" s="71" customFormat="1">
      <c r="A25" s="5379"/>
      <c r="B25" s="5382" t="s">
        <v>407</v>
      </c>
      <c r="C25" s="5383" t="s">
        <v>133</v>
      </c>
      <c r="D25" s="5383"/>
      <c r="E25" s="1246">
        <f>SUM(E26)</f>
        <v>276000</v>
      </c>
      <c r="F25" s="1246">
        <f>SUM(F26)</f>
        <v>288620</v>
      </c>
      <c r="G25" s="1247">
        <f>SUM(G26)</f>
        <v>288620</v>
      </c>
      <c r="H25" s="1248">
        <f t="shared" si="2"/>
        <v>1</v>
      </c>
      <c r="J25" s="70"/>
      <c r="K25" s="70"/>
      <c r="L25" s="70"/>
    </row>
    <row r="26" spans="1:12" s="71" customFormat="1">
      <c r="A26" s="5379"/>
      <c r="B26" s="5382"/>
      <c r="C26" s="1249" t="s">
        <v>121</v>
      </c>
      <c r="D26" s="1250"/>
      <c r="E26" s="1251">
        <v>276000</v>
      </c>
      <c r="F26" s="1251">
        <v>288620</v>
      </c>
      <c r="G26" s="1252">
        <v>288620</v>
      </c>
      <c r="H26" s="1253">
        <f t="shared" si="2"/>
        <v>1</v>
      </c>
      <c r="J26" s="70"/>
      <c r="K26" s="70"/>
      <c r="L26" s="70"/>
    </row>
    <row r="27" spans="1:12" s="71" customFormat="1">
      <c r="A27" s="5379"/>
      <c r="B27" s="5382" t="s">
        <v>404</v>
      </c>
      <c r="C27" s="5383" t="s">
        <v>136</v>
      </c>
      <c r="D27" s="5383"/>
      <c r="E27" s="1246">
        <f>SUM(E28)</f>
        <v>20000</v>
      </c>
      <c r="F27" s="1246">
        <f>SUM(F28)</f>
        <v>20000</v>
      </c>
      <c r="G27" s="1247">
        <f>SUM(G28)</f>
        <v>15689.64</v>
      </c>
      <c r="H27" s="1248">
        <f t="shared" si="2"/>
        <v>0.78448200000000001</v>
      </c>
      <c r="J27" s="70"/>
      <c r="K27" s="70"/>
      <c r="L27" s="70"/>
    </row>
    <row r="28" spans="1:12" s="71" customFormat="1">
      <c r="A28" s="5379"/>
      <c r="B28" s="5382"/>
      <c r="C28" s="1249" t="s">
        <v>121</v>
      </c>
      <c r="D28" s="1250"/>
      <c r="E28" s="1251">
        <v>20000</v>
      </c>
      <c r="F28" s="1251">
        <v>20000</v>
      </c>
      <c r="G28" s="1252">
        <v>15689.64</v>
      </c>
      <c r="H28" s="1253">
        <f t="shared" si="2"/>
        <v>0.78448200000000001</v>
      </c>
      <c r="J28" s="70"/>
      <c r="K28" s="70"/>
      <c r="L28" s="70"/>
    </row>
    <row r="29" spans="1:12" s="71" customFormat="1">
      <c r="A29" s="5379"/>
      <c r="B29" s="5384" t="s">
        <v>402</v>
      </c>
      <c r="C29" s="5386" t="s">
        <v>141</v>
      </c>
      <c r="D29" s="5386"/>
      <c r="E29" s="1246">
        <f>SUM(E30:E30)</f>
        <v>254000</v>
      </c>
      <c r="F29" s="1246">
        <f>SUM(F30:F30)</f>
        <v>264198</v>
      </c>
      <c r="G29" s="1247">
        <f>SUM(G30:G30)</f>
        <v>264195.63</v>
      </c>
      <c r="H29" s="1248">
        <f t="shared" si="2"/>
        <v>0.99999102945518137</v>
      </c>
      <c r="J29" s="70"/>
      <c r="K29" s="70"/>
      <c r="L29" s="70"/>
    </row>
    <row r="30" spans="1:12" s="71" customFormat="1" ht="12" customHeight="1">
      <c r="A30" s="5380"/>
      <c r="B30" s="5385"/>
      <c r="C30" s="1249" t="s">
        <v>121</v>
      </c>
      <c r="D30" s="1250"/>
      <c r="E30" s="1251">
        <v>254000</v>
      </c>
      <c r="F30" s="1251">
        <v>264198</v>
      </c>
      <c r="G30" s="1252">
        <v>264195.63</v>
      </c>
      <c r="H30" s="1253">
        <f t="shared" si="2"/>
        <v>0.99999102945518137</v>
      </c>
      <c r="J30" s="70"/>
      <c r="K30" s="70"/>
      <c r="L30" s="70"/>
    </row>
    <row r="31" spans="1:12" s="71" customFormat="1" ht="23.25" customHeight="1">
      <c r="A31" s="5375" t="s">
        <v>393</v>
      </c>
      <c r="B31" s="5377" t="s">
        <v>194</v>
      </c>
      <c r="C31" s="5377"/>
      <c r="D31" s="5377"/>
      <c r="E31" s="687">
        <f t="shared" ref="E31:G32" si="3">SUM(E32)</f>
        <v>0</v>
      </c>
      <c r="F31" s="687">
        <f t="shared" si="3"/>
        <v>14236</v>
      </c>
      <c r="G31" s="688">
        <f t="shared" si="3"/>
        <v>13842.55</v>
      </c>
      <c r="H31" s="689">
        <f t="shared" si="2"/>
        <v>0.97236232087665064</v>
      </c>
      <c r="J31" s="70"/>
      <c r="K31" s="70"/>
      <c r="L31" s="70"/>
    </row>
    <row r="32" spans="1:12" s="71" customFormat="1" ht="39" customHeight="1">
      <c r="A32" s="5376"/>
      <c r="B32" s="5374" t="s">
        <v>392</v>
      </c>
      <c r="C32" s="5387" t="s">
        <v>207</v>
      </c>
      <c r="D32" s="5387"/>
      <c r="E32" s="678">
        <f t="shared" si="3"/>
        <v>0</v>
      </c>
      <c r="F32" s="678">
        <f t="shared" si="3"/>
        <v>14236</v>
      </c>
      <c r="G32" s="679">
        <f t="shared" si="3"/>
        <v>13842.55</v>
      </c>
      <c r="H32" s="680">
        <f t="shared" si="2"/>
        <v>0.97236232087665064</v>
      </c>
      <c r="J32" s="70"/>
      <c r="K32" s="70"/>
      <c r="L32" s="70"/>
    </row>
    <row r="33" spans="1:12" s="71" customFormat="1">
      <c r="A33" s="5367"/>
      <c r="B33" s="5374"/>
      <c r="C33" s="681" t="s">
        <v>121</v>
      </c>
      <c r="D33" s="682"/>
      <c r="E33" s="683">
        <v>0</v>
      </c>
      <c r="F33" s="683">
        <v>14236</v>
      </c>
      <c r="G33" s="684">
        <v>13842.55</v>
      </c>
      <c r="H33" s="685">
        <f t="shared" si="2"/>
        <v>0.97236232087665064</v>
      </c>
      <c r="J33" s="70"/>
      <c r="K33" s="70"/>
      <c r="L33" s="70"/>
    </row>
    <row r="34" spans="1:12" s="71" customFormat="1" ht="23.25" customHeight="1">
      <c r="A34" s="5375" t="s">
        <v>390</v>
      </c>
      <c r="B34" s="5377" t="s">
        <v>213</v>
      </c>
      <c r="C34" s="5377"/>
      <c r="D34" s="5377"/>
      <c r="E34" s="687">
        <f>SUM(E35,E37,E39)</f>
        <v>18684000</v>
      </c>
      <c r="F34" s="687">
        <f>SUM(F35,F37,F39)</f>
        <v>39125040</v>
      </c>
      <c r="G34" s="688">
        <f>SUM(G35,G37,G39)</f>
        <v>30806376.659999996</v>
      </c>
      <c r="H34" s="689">
        <f t="shared" si="2"/>
        <v>0.78738262401776449</v>
      </c>
      <c r="J34" s="70"/>
      <c r="K34" s="70"/>
      <c r="L34" s="70"/>
    </row>
    <row r="35" spans="1:12" s="71" customFormat="1">
      <c r="A35" s="5376"/>
      <c r="B35" s="5374" t="s">
        <v>388</v>
      </c>
      <c r="C35" s="5373" t="s">
        <v>217</v>
      </c>
      <c r="D35" s="5373"/>
      <c r="E35" s="678">
        <f>SUM(E36)</f>
        <v>150000</v>
      </c>
      <c r="F35" s="678">
        <f>SUM(F36)</f>
        <v>1350000</v>
      </c>
      <c r="G35" s="679">
        <f>SUM(G36)</f>
        <v>1342988.65</v>
      </c>
      <c r="H35" s="680">
        <f t="shared" si="2"/>
        <v>0.99480640740740733</v>
      </c>
      <c r="J35" s="70"/>
      <c r="K35" s="70"/>
      <c r="L35" s="70"/>
    </row>
    <row r="36" spans="1:12" s="71" customFormat="1">
      <c r="A36" s="5376"/>
      <c r="B36" s="5374"/>
      <c r="C36" s="681" t="s">
        <v>445</v>
      </c>
      <c r="D36" s="682"/>
      <c r="E36" s="683">
        <v>150000</v>
      </c>
      <c r="F36" s="683">
        <v>1350000</v>
      </c>
      <c r="G36" s="684">
        <v>1342988.65</v>
      </c>
      <c r="H36" s="685">
        <f t="shared" si="2"/>
        <v>0.99480640740740733</v>
      </c>
      <c r="J36" s="70"/>
      <c r="K36" s="70"/>
      <c r="L36" s="70"/>
    </row>
    <row r="37" spans="1:12" s="71" customFormat="1">
      <c r="A37" s="5376"/>
      <c r="B37" s="5374" t="s">
        <v>384</v>
      </c>
      <c r="C37" s="5373" t="s">
        <v>383</v>
      </c>
      <c r="D37" s="5373"/>
      <c r="E37" s="678">
        <f>SUM(E38)</f>
        <v>18504000</v>
      </c>
      <c r="F37" s="678">
        <f>SUM(F38)</f>
        <v>37709240</v>
      </c>
      <c r="G37" s="679">
        <f>SUM(G38)</f>
        <v>29401720.629999999</v>
      </c>
      <c r="H37" s="680">
        <f t="shared" si="2"/>
        <v>0.77969539110308239</v>
      </c>
      <c r="J37" s="70"/>
      <c r="K37" s="70"/>
      <c r="L37" s="70"/>
    </row>
    <row r="38" spans="1:12" s="71" customFormat="1">
      <c r="A38" s="5376"/>
      <c r="B38" s="5374"/>
      <c r="C38" s="681" t="s">
        <v>121</v>
      </c>
      <c r="D38" s="682"/>
      <c r="E38" s="683">
        <v>18504000</v>
      </c>
      <c r="F38" s="683">
        <v>37709240</v>
      </c>
      <c r="G38" s="684">
        <v>29401720.629999999</v>
      </c>
      <c r="H38" s="685">
        <f t="shared" si="2"/>
        <v>0.77969539110308239</v>
      </c>
      <c r="J38" s="70"/>
      <c r="K38" s="70"/>
      <c r="L38" s="70"/>
    </row>
    <row r="39" spans="1:12" s="71" customFormat="1">
      <c r="A39" s="5376"/>
      <c r="B39" s="5374" t="s">
        <v>381</v>
      </c>
      <c r="C39" s="5373" t="s">
        <v>44</v>
      </c>
      <c r="D39" s="5373"/>
      <c r="E39" s="678">
        <f>SUM(E40)</f>
        <v>30000</v>
      </c>
      <c r="F39" s="678">
        <f>SUM(F40)</f>
        <v>65800</v>
      </c>
      <c r="G39" s="679">
        <f>SUM(G40)</f>
        <v>61667.38</v>
      </c>
      <c r="H39" s="680">
        <f t="shared" si="2"/>
        <v>0.93719422492401216</v>
      </c>
      <c r="J39" s="70"/>
      <c r="K39" s="70"/>
      <c r="L39" s="70"/>
    </row>
    <row r="40" spans="1:12" s="71" customFormat="1">
      <c r="A40" s="5367"/>
      <c r="B40" s="5374"/>
      <c r="C40" s="681" t="s">
        <v>121</v>
      </c>
      <c r="D40" s="682"/>
      <c r="E40" s="683">
        <v>30000</v>
      </c>
      <c r="F40" s="683">
        <v>65800</v>
      </c>
      <c r="G40" s="684">
        <v>61667.38</v>
      </c>
      <c r="H40" s="685">
        <f t="shared" si="2"/>
        <v>0.93719422492401216</v>
      </c>
      <c r="J40" s="70"/>
      <c r="K40" s="70"/>
      <c r="L40" s="70"/>
    </row>
    <row r="41" spans="1:12" s="71" customFormat="1" ht="23.25" customHeight="1">
      <c r="A41" s="5375" t="s">
        <v>376</v>
      </c>
      <c r="B41" s="5377" t="s">
        <v>236</v>
      </c>
      <c r="C41" s="5377"/>
      <c r="D41" s="5377"/>
      <c r="E41" s="687">
        <f t="shared" ref="E41:G42" si="4">SUM(E42)</f>
        <v>1000</v>
      </c>
      <c r="F41" s="687">
        <f t="shared" si="4"/>
        <v>4140</v>
      </c>
      <c r="G41" s="688">
        <f t="shared" si="4"/>
        <v>2640</v>
      </c>
      <c r="H41" s="689">
        <f t="shared" si="2"/>
        <v>0.6376811594202898</v>
      </c>
      <c r="J41" s="70"/>
      <c r="K41" s="70"/>
      <c r="L41" s="70"/>
    </row>
    <row r="42" spans="1:12" s="71" customFormat="1">
      <c r="A42" s="5376"/>
      <c r="B42" s="5374" t="s">
        <v>373</v>
      </c>
      <c r="C42" s="5373" t="s">
        <v>372</v>
      </c>
      <c r="D42" s="5373"/>
      <c r="E42" s="678">
        <f t="shared" si="4"/>
        <v>1000</v>
      </c>
      <c r="F42" s="678">
        <f t="shared" si="4"/>
        <v>4140</v>
      </c>
      <c r="G42" s="679">
        <f t="shared" si="4"/>
        <v>2640</v>
      </c>
      <c r="H42" s="680">
        <f t="shared" si="2"/>
        <v>0.6376811594202898</v>
      </c>
      <c r="J42" s="70"/>
      <c r="K42" s="70"/>
      <c r="L42" s="70"/>
    </row>
    <row r="43" spans="1:12" s="71" customFormat="1">
      <c r="A43" s="5367"/>
      <c r="B43" s="5374"/>
      <c r="C43" s="681" t="s">
        <v>121</v>
      </c>
      <c r="D43" s="682"/>
      <c r="E43" s="683">
        <v>1000</v>
      </c>
      <c r="F43" s="683">
        <v>4140</v>
      </c>
      <c r="G43" s="684">
        <v>2640</v>
      </c>
      <c r="H43" s="685">
        <f t="shared" si="2"/>
        <v>0.6376811594202898</v>
      </c>
      <c r="J43" s="70"/>
      <c r="K43" s="70"/>
      <c r="L43" s="70"/>
    </row>
    <row r="44" spans="1:12" s="71" customFormat="1" ht="23.25" customHeight="1">
      <c r="A44" s="5375" t="s">
        <v>366</v>
      </c>
      <c r="B44" s="5377" t="s">
        <v>248</v>
      </c>
      <c r="C44" s="5377"/>
      <c r="D44" s="5377"/>
      <c r="E44" s="687">
        <f>SUM(E45)</f>
        <v>1758000</v>
      </c>
      <c r="F44" s="687">
        <f>SUM(F45)</f>
        <v>2565501</v>
      </c>
      <c r="G44" s="688">
        <f>SUM(G45)</f>
        <v>2541499.42</v>
      </c>
      <c r="H44" s="689">
        <f t="shared" si="2"/>
        <v>0.99064448620366941</v>
      </c>
      <c r="J44" s="70"/>
      <c r="K44" s="70"/>
      <c r="L44" s="70"/>
    </row>
    <row r="45" spans="1:12" s="71" customFormat="1">
      <c r="A45" s="5376"/>
      <c r="B45" s="5370" t="s">
        <v>364</v>
      </c>
      <c r="C45" s="5373" t="s">
        <v>250</v>
      </c>
      <c r="D45" s="5373"/>
      <c r="E45" s="678">
        <f>SUM(E46:E46)</f>
        <v>1758000</v>
      </c>
      <c r="F45" s="678">
        <f>SUM(F46:F46)</f>
        <v>2565501</v>
      </c>
      <c r="G45" s="679">
        <f>SUM(G46:G46)</f>
        <v>2541499.42</v>
      </c>
      <c r="H45" s="680">
        <f t="shared" si="2"/>
        <v>0.99064448620366941</v>
      </c>
      <c r="J45" s="70"/>
      <c r="K45" s="70"/>
      <c r="L45" s="70"/>
    </row>
    <row r="46" spans="1:12" s="71" customFormat="1">
      <c r="A46" s="5376"/>
      <c r="B46" s="5371"/>
      <c r="C46" s="1021" t="s">
        <v>121</v>
      </c>
      <c r="D46" s="1022"/>
      <c r="E46" s="1023">
        <v>1758000</v>
      </c>
      <c r="F46" s="1023">
        <v>2565501</v>
      </c>
      <c r="G46" s="1024">
        <v>2541499.42</v>
      </c>
      <c r="H46" s="1025">
        <f t="shared" si="2"/>
        <v>0.99064448620366941</v>
      </c>
      <c r="J46" s="70"/>
      <c r="K46" s="70"/>
      <c r="L46" s="70"/>
    </row>
    <row r="47" spans="1:12" s="71" customFormat="1" ht="23.25" customHeight="1">
      <c r="A47" s="5378" t="s">
        <v>359</v>
      </c>
      <c r="B47" s="5377" t="s">
        <v>254</v>
      </c>
      <c r="C47" s="5377"/>
      <c r="D47" s="5377"/>
      <c r="E47" s="687">
        <f>SUM(E48+E50)</f>
        <v>0</v>
      </c>
      <c r="F47" s="687">
        <f t="shared" ref="F47:G47" si="5">SUM(F48+F50)</f>
        <v>491573</v>
      </c>
      <c r="G47" s="687">
        <f t="shared" si="5"/>
        <v>491572.09</v>
      </c>
      <c r="H47" s="689">
        <f t="shared" si="2"/>
        <v>0.99999814879987314</v>
      </c>
      <c r="J47" s="70"/>
      <c r="K47" s="70"/>
      <c r="L47" s="70"/>
    </row>
    <row r="48" spans="1:12" s="71" customFormat="1">
      <c r="A48" s="5379"/>
      <c r="B48" s="5370" t="s">
        <v>358</v>
      </c>
      <c r="C48" s="5373" t="s">
        <v>255</v>
      </c>
      <c r="D48" s="5373"/>
      <c r="E48" s="678">
        <f>SUM(E49:E49)</f>
        <v>0</v>
      </c>
      <c r="F48" s="678">
        <f>SUM(F49:F49)</f>
        <v>339673</v>
      </c>
      <c r="G48" s="679">
        <f>SUM(G49:G49)</f>
        <v>339672.09</v>
      </c>
      <c r="H48" s="680">
        <f t="shared" si="2"/>
        <v>0.99999732095279881</v>
      </c>
      <c r="J48" s="70"/>
      <c r="K48" s="70"/>
      <c r="L48" s="70"/>
    </row>
    <row r="49" spans="1:12" s="71" customFormat="1">
      <c r="A49" s="5379"/>
      <c r="B49" s="5371"/>
      <c r="C49" s="1021" t="s">
        <v>121</v>
      </c>
      <c r="D49" s="1022"/>
      <c r="E49" s="1023">
        <v>0</v>
      </c>
      <c r="F49" s="1023">
        <v>339673</v>
      </c>
      <c r="G49" s="1024">
        <v>339672.09</v>
      </c>
      <c r="H49" s="1025">
        <f t="shared" si="2"/>
        <v>0.99999732095279881</v>
      </c>
      <c r="J49" s="70"/>
      <c r="K49" s="70"/>
      <c r="L49" s="70"/>
    </row>
    <row r="50" spans="1:12" s="71" customFormat="1">
      <c r="A50" s="5379"/>
      <c r="B50" s="5370" t="s">
        <v>939</v>
      </c>
      <c r="C50" s="5373" t="s">
        <v>357</v>
      </c>
      <c r="D50" s="5373"/>
      <c r="E50" s="678">
        <f>SUM(E51:E51)</f>
        <v>0</v>
      </c>
      <c r="F50" s="678">
        <f>SUM(F51:F51)</f>
        <v>151900</v>
      </c>
      <c r="G50" s="679">
        <f>SUM(G51:G51)</f>
        <v>151900</v>
      </c>
      <c r="H50" s="680">
        <f t="shared" ref="H50:H51" si="6">G50/F50</f>
        <v>1</v>
      </c>
      <c r="J50" s="70"/>
      <c r="K50" s="70"/>
      <c r="L50" s="70"/>
    </row>
    <row r="51" spans="1:12" s="71" customFormat="1" ht="13.5" thickBot="1">
      <c r="A51" s="5389"/>
      <c r="B51" s="5371"/>
      <c r="C51" s="1021" t="s">
        <v>121</v>
      </c>
      <c r="D51" s="1022"/>
      <c r="E51" s="1023">
        <v>0</v>
      </c>
      <c r="F51" s="1023">
        <v>151900</v>
      </c>
      <c r="G51" s="1024">
        <v>151900</v>
      </c>
      <c r="H51" s="1025">
        <f t="shared" si="6"/>
        <v>1</v>
      </c>
      <c r="J51" s="70"/>
      <c r="K51" s="70"/>
      <c r="L51" s="70"/>
    </row>
    <row r="52" spans="1:12" s="71" customFormat="1" ht="30" customHeight="1" thickBot="1">
      <c r="A52" s="5388" t="s">
        <v>294</v>
      </c>
      <c r="B52" s="5388"/>
      <c r="C52" s="5388"/>
      <c r="D52" s="5388"/>
      <c r="E52" s="1238">
        <f>SUM(E44,E34,E24,E19,E11,E5,E31,E41,E16,E47)</f>
        <v>76934000</v>
      </c>
      <c r="F52" s="1238">
        <f t="shared" ref="F52:G52" si="7">SUM(F44,F34,F24,F19,F11,F5,F31,F41,F16,F47)</f>
        <v>119041708</v>
      </c>
      <c r="G52" s="1239">
        <f t="shared" si="7"/>
        <v>109658825.49000001</v>
      </c>
      <c r="H52" s="1240">
        <f t="shared" si="2"/>
        <v>0.92117987327601192</v>
      </c>
    </row>
    <row r="53" spans="1:12" s="71" customFormat="1">
      <c r="A53" s="165"/>
      <c r="B53" s="165"/>
      <c r="C53" s="76"/>
      <c r="D53" s="76"/>
      <c r="E53" s="73"/>
      <c r="F53" s="1263"/>
      <c r="G53" s="74"/>
      <c r="H53" s="70"/>
    </row>
    <row r="54" spans="1:12" s="71" customFormat="1">
      <c r="A54" s="165"/>
      <c r="B54" s="165"/>
      <c r="C54" s="76"/>
      <c r="D54" s="76"/>
      <c r="E54" s="77"/>
      <c r="F54" s="77"/>
      <c r="G54" s="77"/>
      <c r="H54" s="77"/>
    </row>
    <row r="55" spans="1:12" s="71" customFormat="1">
      <c r="A55" s="165"/>
      <c r="B55" s="165"/>
      <c r="C55" s="76"/>
      <c r="D55" s="76"/>
      <c r="E55" s="73"/>
      <c r="F55" s="1263"/>
      <c r="G55" s="70"/>
      <c r="H55" s="70"/>
    </row>
    <row r="56" spans="1:12" s="71" customFormat="1" ht="12.75" customHeight="1">
      <c r="A56" s="165"/>
      <c r="B56" s="165"/>
      <c r="C56" s="76"/>
      <c r="D56" s="76"/>
      <c r="E56" s="73"/>
      <c r="F56" s="1263"/>
      <c r="G56" s="74"/>
      <c r="H56" s="70"/>
      <c r="I56" s="74"/>
    </row>
    <row r="57" spans="1:12" s="71" customFormat="1">
      <c r="A57" s="165"/>
      <c r="B57" s="165"/>
      <c r="C57" s="76"/>
      <c r="D57" s="76"/>
      <c r="E57" s="73"/>
      <c r="F57" s="1263"/>
      <c r="G57" s="74"/>
      <c r="H57" s="70"/>
      <c r="I57" s="74"/>
    </row>
    <row r="58" spans="1:12" s="71" customFormat="1">
      <c r="A58" s="165"/>
      <c r="B58" s="165"/>
      <c r="C58" s="76"/>
      <c r="D58" s="76"/>
      <c r="E58" s="73"/>
      <c r="F58" s="1263"/>
      <c r="H58" s="70"/>
    </row>
    <row r="59" spans="1:12" s="71" customFormat="1">
      <c r="A59" s="165"/>
      <c r="B59" s="165"/>
      <c r="C59" s="76"/>
      <c r="D59" s="76"/>
      <c r="E59" s="73"/>
      <c r="F59" s="1263"/>
      <c r="G59" s="74"/>
      <c r="H59" s="70"/>
      <c r="I59" s="74"/>
    </row>
    <row r="60" spans="1:12" s="71" customFormat="1">
      <c r="A60" s="165"/>
      <c r="B60" s="165"/>
      <c r="C60" s="76"/>
      <c r="D60" s="76"/>
      <c r="E60" s="73"/>
      <c r="F60" s="1263"/>
      <c r="G60" s="70"/>
      <c r="H60" s="70"/>
    </row>
    <row r="61" spans="1:12" s="71" customFormat="1">
      <c r="A61" s="165"/>
      <c r="B61" s="165"/>
      <c r="C61" s="76"/>
      <c r="D61" s="76"/>
      <c r="E61" s="76"/>
      <c r="F61" s="166"/>
      <c r="G61" s="72"/>
      <c r="H61" s="72"/>
    </row>
    <row r="62" spans="1:12" s="71" customFormat="1">
      <c r="A62" s="165"/>
      <c r="B62" s="165"/>
      <c r="C62" s="76"/>
      <c r="D62" s="76"/>
      <c r="E62" s="76"/>
      <c r="F62" s="166"/>
      <c r="G62" s="72"/>
      <c r="H62" s="72"/>
    </row>
    <row r="63" spans="1:12" s="71" customFormat="1">
      <c r="A63" s="165"/>
      <c r="B63" s="165"/>
      <c r="C63" s="76"/>
      <c r="D63" s="76"/>
      <c r="E63" s="76"/>
      <c r="F63" s="166"/>
      <c r="G63" s="72"/>
      <c r="H63" s="72"/>
    </row>
    <row r="64" spans="1:12" s="71" customFormat="1">
      <c r="A64" s="76"/>
      <c r="B64" s="165"/>
      <c r="C64" s="76"/>
      <c r="D64" s="76"/>
      <c r="E64" s="76"/>
      <c r="F64" s="166"/>
      <c r="G64" s="72"/>
      <c r="H64" s="72"/>
    </row>
    <row r="65" spans="1:12" s="71" customFormat="1">
      <c r="A65" s="76"/>
      <c r="B65" s="165"/>
      <c r="C65" s="76"/>
      <c r="D65" s="76"/>
      <c r="E65" s="76"/>
      <c r="F65" s="166"/>
      <c r="G65" s="72"/>
      <c r="H65" s="72"/>
    </row>
    <row r="66" spans="1:12" s="71" customFormat="1">
      <c r="A66" s="76"/>
      <c r="B66" s="165"/>
      <c r="C66" s="76"/>
      <c r="D66" s="76"/>
      <c r="E66" s="76"/>
      <c r="F66" s="166"/>
      <c r="G66" s="72"/>
      <c r="H66" s="72"/>
    </row>
    <row r="67" spans="1:12" s="71" customFormat="1">
      <c r="A67" s="76"/>
      <c r="B67" s="165"/>
      <c r="C67" s="76"/>
      <c r="D67" s="76"/>
      <c r="E67" s="76"/>
      <c r="F67" s="166"/>
      <c r="G67" s="72"/>
      <c r="H67" s="72"/>
    </row>
    <row r="68" spans="1:12" s="71" customFormat="1">
      <c r="A68" s="76"/>
      <c r="B68" s="165"/>
      <c r="C68" s="76"/>
      <c r="D68" s="76"/>
      <c r="E68" s="76"/>
      <c r="F68" s="166"/>
      <c r="G68" s="72"/>
      <c r="H68" s="72"/>
    </row>
    <row r="69" spans="1:12" s="71" customFormat="1">
      <c r="A69" s="76"/>
      <c r="B69" s="165"/>
      <c r="C69" s="76"/>
      <c r="D69" s="76"/>
      <c r="E69" s="76"/>
      <c r="F69" s="166"/>
      <c r="G69" s="72"/>
      <c r="H69" s="72"/>
    </row>
    <row r="70" spans="1:12" s="71" customFormat="1">
      <c r="A70" s="76"/>
      <c r="B70" s="165"/>
      <c r="C70" s="76"/>
      <c r="D70" s="76"/>
      <c r="E70" s="76"/>
      <c r="F70" s="166"/>
      <c r="G70" s="72"/>
      <c r="H70" s="72"/>
    </row>
    <row r="71" spans="1:12" s="71" customFormat="1">
      <c r="A71" s="76"/>
      <c r="B71" s="165"/>
      <c r="C71" s="76"/>
      <c r="D71" s="76"/>
      <c r="E71" s="76"/>
      <c r="F71" s="166"/>
      <c r="G71" s="72"/>
      <c r="H71" s="72"/>
    </row>
    <row r="72" spans="1:12" s="71" customFormat="1">
      <c r="A72" s="76"/>
      <c r="B72" s="165"/>
      <c r="C72" s="76"/>
      <c r="D72" s="76"/>
      <c r="E72" s="76"/>
      <c r="F72" s="166"/>
      <c r="G72" s="72"/>
      <c r="H72" s="72"/>
    </row>
    <row r="73" spans="1:12" s="71" customFormat="1">
      <c r="A73" s="76"/>
      <c r="B73" s="165"/>
      <c r="C73" s="76"/>
      <c r="D73" s="76"/>
      <c r="E73" s="76"/>
      <c r="F73" s="166"/>
      <c r="G73" s="72"/>
      <c r="H73" s="72"/>
    </row>
    <row r="74" spans="1:12" s="71" customFormat="1">
      <c r="A74" s="76"/>
      <c r="B74" s="165"/>
      <c r="C74" s="76"/>
      <c r="D74" s="76"/>
      <c r="E74" s="76"/>
      <c r="F74" s="166"/>
      <c r="G74" s="72"/>
      <c r="H74" s="72"/>
    </row>
    <row r="75" spans="1:12" s="71" customFormat="1">
      <c r="A75" s="76"/>
      <c r="B75" s="165"/>
      <c r="C75" s="76"/>
      <c r="D75" s="76"/>
      <c r="E75" s="76"/>
      <c r="F75" s="166"/>
      <c r="G75" s="72"/>
      <c r="H75" s="72"/>
    </row>
    <row r="76" spans="1:12" s="71" customFormat="1">
      <c r="A76" s="76"/>
      <c r="B76" s="165"/>
      <c r="C76" s="76"/>
      <c r="D76" s="76"/>
      <c r="E76" s="76"/>
      <c r="F76" s="166"/>
      <c r="G76" s="72"/>
      <c r="H76" s="72"/>
    </row>
    <row r="77" spans="1:12" s="71" customFormat="1">
      <c r="A77" s="76"/>
      <c r="B77" s="165"/>
      <c r="C77" s="76"/>
      <c r="D77" s="76"/>
      <c r="E77" s="76"/>
      <c r="F77" s="166"/>
      <c r="G77" s="72"/>
      <c r="H77" s="72"/>
    </row>
    <row r="78" spans="1:12" s="71" customFormat="1">
      <c r="A78" s="72"/>
      <c r="B78" s="165"/>
      <c r="C78" s="76"/>
      <c r="D78" s="76"/>
      <c r="E78" s="76"/>
      <c r="F78" s="166"/>
      <c r="G78" s="72"/>
      <c r="H78" s="72"/>
    </row>
    <row r="79" spans="1:12" s="71" customFormat="1">
      <c r="A79" s="72"/>
      <c r="B79" s="165"/>
      <c r="C79" s="76"/>
      <c r="D79" s="76"/>
      <c r="E79" s="76"/>
      <c r="F79" s="166"/>
      <c r="G79" s="72"/>
      <c r="H79" s="72"/>
    </row>
    <row r="80" spans="1:12" s="71" customFormat="1">
      <c r="A80" s="72"/>
      <c r="B80" s="167"/>
      <c r="C80" s="72"/>
      <c r="D80" s="72"/>
      <c r="E80" s="72"/>
      <c r="F80" s="168"/>
      <c r="G80" s="72"/>
      <c r="H80" s="72"/>
      <c r="J80" s="70"/>
      <c r="K80" s="70"/>
      <c r="L80" s="70"/>
    </row>
    <row r="81" spans="1:12" s="71" customFormat="1">
      <c r="A81" s="72"/>
      <c r="B81" s="167"/>
      <c r="C81" s="72"/>
      <c r="D81" s="72"/>
      <c r="E81" s="72"/>
      <c r="F81" s="168"/>
      <c r="G81" s="72"/>
      <c r="H81" s="72"/>
      <c r="J81" s="70"/>
      <c r="K81" s="70"/>
      <c r="L81" s="70"/>
    </row>
    <row r="82" spans="1:12" s="71" customFormat="1">
      <c r="A82" s="72"/>
      <c r="B82" s="167"/>
      <c r="C82" s="72"/>
      <c r="D82" s="72"/>
      <c r="E82" s="72"/>
      <c r="F82" s="168"/>
      <c r="G82" s="72"/>
      <c r="H82" s="72"/>
      <c r="J82" s="70"/>
      <c r="K82" s="70"/>
      <c r="L82" s="70"/>
    </row>
    <row r="83" spans="1:12" s="71" customFormat="1">
      <c r="A83" s="72"/>
      <c r="B83" s="167"/>
      <c r="C83" s="72"/>
      <c r="D83" s="72"/>
      <c r="E83" s="72"/>
      <c r="F83" s="168"/>
      <c r="G83" s="72"/>
      <c r="H83" s="72"/>
      <c r="J83" s="70"/>
      <c r="K83" s="70"/>
      <c r="L83" s="70"/>
    </row>
    <row r="84" spans="1:12" s="71" customFormat="1">
      <c r="A84" s="72"/>
      <c r="B84" s="167"/>
      <c r="C84" s="72"/>
      <c r="D84" s="72"/>
      <c r="E84" s="72"/>
      <c r="F84" s="168"/>
      <c r="G84" s="72"/>
      <c r="H84" s="72"/>
      <c r="J84" s="70"/>
      <c r="K84" s="70"/>
      <c r="L84" s="70"/>
    </row>
    <row r="85" spans="1:12" s="71" customFormat="1">
      <c r="A85" s="72"/>
      <c r="B85" s="167"/>
      <c r="C85" s="72"/>
      <c r="D85" s="72"/>
      <c r="E85" s="72"/>
      <c r="F85" s="168"/>
      <c r="G85" s="72"/>
      <c r="H85" s="72"/>
      <c r="J85" s="70"/>
      <c r="K85" s="70"/>
      <c r="L85" s="70"/>
    </row>
    <row r="86" spans="1:12" s="71" customFormat="1">
      <c r="A86" s="72"/>
      <c r="B86" s="167"/>
      <c r="C86" s="72"/>
      <c r="D86" s="72"/>
      <c r="E86" s="72"/>
      <c r="F86" s="168"/>
      <c r="G86" s="72"/>
      <c r="H86" s="72"/>
      <c r="J86" s="70"/>
      <c r="K86" s="70"/>
      <c r="L86" s="70"/>
    </row>
    <row r="87" spans="1:12" s="71" customFormat="1">
      <c r="A87" s="72"/>
      <c r="B87" s="167"/>
      <c r="C87" s="72"/>
      <c r="D87" s="72"/>
      <c r="E87" s="72"/>
      <c r="F87" s="168"/>
      <c r="G87" s="72"/>
      <c r="H87" s="72"/>
      <c r="J87" s="70"/>
      <c r="K87" s="70"/>
      <c r="L87" s="70"/>
    </row>
    <row r="88" spans="1:12" s="71" customFormat="1">
      <c r="A88" s="72"/>
      <c r="B88" s="167"/>
      <c r="C88" s="72"/>
      <c r="D88" s="72"/>
      <c r="E88" s="72"/>
      <c r="F88" s="168"/>
      <c r="G88" s="72"/>
      <c r="H88" s="72"/>
      <c r="J88" s="70"/>
      <c r="K88" s="70"/>
      <c r="L88" s="70"/>
    </row>
    <row r="89" spans="1:12" s="71" customFormat="1">
      <c r="A89" s="72"/>
      <c r="B89" s="167"/>
      <c r="C89" s="72"/>
      <c r="D89" s="72"/>
      <c r="E89" s="72"/>
      <c r="F89" s="168"/>
      <c r="G89" s="72"/>
      <c r="H89" s="72"/>
      <c r="J89" s="70"/>
      <c r="K89" s="70"/>
      <c r="L89" s="70"/>
    </row>
    <row r="90" spans="1:12" s="71" customFormat="1">
      <c r="A90" s="72"/>
      <c r="B90" s="167"/>
      <c r="C90" s="72"/>
      <c r="D90" s="72"/>
      <c r="E90" s="72"/>
      <c r="F90" s="168"/>
      <c r="G90" s="72"/>
      <c r="H90" s="72"/>
      <c r="J90" s="70"/>
      <c r="K90" s="70"/>
      <c r="L90" s="70"/>
    </row>
    <row r="91" spans="1:12">
      <c r="B91" s="167"/>
      <c r="F91" s="168"/>
    </row>
    <row r="92" spans="1:12">
      <c r="B92" s="167"/>
      <c r="F92" s="168"/>
    </row>
    <row r="93" spans="1:12">
      <c r="B93" s="167"/>
      <c r="F93" s="168"/>
    </row>
    <row r="94" spans="1:12">
      <c r="B94" s="167"/>
      <c r="F94" s="168"/>
    </row>
    <row r="95" spans="1:12">
      <c r="B95" s="167"/>
      <c r="F95" s="168"/>
    </row>
    <row r="96" spans="1:12">
      <c r="F96" s="168"/>
    </row>
    <row r="97" spans="6:6">
      <c r="F97" s="168"/>
    </row>
    <row r="168" spans="4:4">
      <c r="D168" s="72">
        <f>115000000+12000000</f>
        <v>127000000</v>
      </c>
    </row>
  </sheetData>
  <mergeCells count="59">
    <mergeCell ref="B47:D47"/>
    <mergeCell ref="B48:B49"/>
    <mergeCell ref="C48:D48"/>
    <mergeCell ref="A52:D52"/>
    <mergeCell ref="A41:A43"/>
    <mergeCell ref="B41:D41"/>
    <mergeCell ref="B42:B43"/>
    <mergeCell ref="C42:D42"/>
    <mergeCell ref="A44:A46"/>
    <mergeCell ref="B44:D44"/>
    <mergeCell ref="B45:B46"/>
    <mergeCell ref="C45:D45"/>
    <mergeCell ref="B50:B51"/>
    <mergeCell ref="C50:D50"/>
    <mergeCell ref="A47:A51"/>
    <mergeCell ref="A31:A33"/>
    <mergeCell ref="B31:D31"/>
    <mergeCell ref="B32:B33"/>
    <mergeCell ref="C32:D32"/>
    <mergeCell ref="A34:A40"/>
    <mergeCell ref="B34:D34"/>
    <mergeCell ref="B35:B36"/>
    <mergeCell ref="C35:D35"/>
    <mergeCell ref="B37:B38"/>
    <mergeCell ref="C37:D37"/>
    <mergeCell ref="B39:B40"/>
    <mergeCell ref="C39:D39"/>
    <mergeCell ref="A24:A30"/>
    <mergeCell ref="B24:D24"/>
    <mergeCell ref="B25:B26"/>
    <mergeCell ref="C25:D25"/>
    <mergeCell ref="B27:B28"/>
    <mergeCell ref="C27:D27"/>
    <mergeCell ref="B29:B30"/>
    <mergeCell ref="C29:D29"/>
    <mergeCell ref="A16:A18"/>
    <mergeCell ref="B16:D16"/>
    <mergeCell ref="B17:B18"/>
    <mergeCell ref="C17:D17"/>
    <mergeCell ref="A19:A23"/>
    <mergeCell ref="B19:D19"/>
    <mergeCell ref="B20:B21"/>
    <mergeCell ref="C20:D20"/>
    <mergeCell ref="B22:B23"/>
    <mergeCell ref="C22:D22"/>
    <mergeCell ref="A11:A15"/>
    <mergeCell ref="B11:D11"/>
    <mergeCell ref="B12:B13"/>
    <mergeCell ref="C12:D12"/>
    <mergeCell ref="B14:B15"/>
    <mergeCell ref="C14:D14"/>
    <mergeCell ref="A1:H1"/>
    <mergeCell ref="A2:F2"/>
    <mergeCell ref="A5:A10"/>
    <mergeCell ref="B5:D5"/>
    <mergeCell ref="B6:B8"/>
    <mergeCell ref="C6:D6"/>
    <mergeCell ref="B9:B10"/>
    <mergeCell ref="C9:D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105" orientation="landscape" horizontalDpi="300" verticalDpi="300" r:id="rId1"/>
  <headerFooter>
    <oddFooter>Strona &amp;P z &amp;N</oddFooter>
  </headerFooter>
  <rowBreaks count="1" manualBreakCount="1">
    <brk id="30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1"/>
  <sheetViews>
    <sheetView view="pageBreakPreview" zoomScale="85" zoomScaleNormal="75" zoomScaleSheetLayoutView="85" workbookViewId="0">
      <pane xSplit="4" ySplit="5" topLeftCell="E6" activePane="bottomRight" state="frozen"/>
      <selection activeCell="O75" sqref="O75"/>
      <selection pane="topRight" activeCell="O75" sqref="O75"/>
      <selection pane="bottomLeft" activeCell="O75" sqref="O75"/>
      <selection pane="bottomRight" sqref="A1:O1"/>
    </sheetView>
  </sheetViews>
  <sheetFormatPr defaultColWidth="9.140625" defaultRowHeight="15.75"/>
  <cols>
    <col min="1" max="1" width="7" style="177" customWidth="1"/>
    <col min="2" max="2" width="8.85546875" style="176" bestFit="1" customWidth="1"/>
    <col min="3" max="3" width="29.5703125" style="76" customWidth="1"/>
    <col min="4" max="4" width="8.7109375" style="76" customWidth="1"/>
    <col min="5" max="5" width="12.42578125" style="76" customWidth="1"/>
    <col min="6" max="6" width="14.42578125" style="76" customWidth="1"/>
    <col min="7" max="7" width="13.85546875" style="76" bestFit="1" customWidth="1"/>
    <col min="8" max="8" width="13.42578125" style="76" customWidth="1"/>
    <col min="9" max="9" width="12.85546875" style="76" customWidth="1"/>
    <col min="10" max="10" width="14.28515625" style="76" customWidth="1"/>
    <col min="11" max="11" width="12.85546875" style="76" customWidth="1"/>
    <col min="12" max="12" width="12.42578125" style="76" customWidth="1"/>
    <col min="13" max="13" width="11.42578125" style="76" customWidth="1"/>
    <col min="14" max="14" width="11.85546875" style="76" customWidth="1"/>
    <col min="15" max="15" width="10.140625" style="76" customWidth="1"/>
    <col min="16" max="16" width="12.5703125" style="73" customWidth="1"/>
    <col min="17" max="16384" width="9.140625" style="73"/>
  </cols>
  <sheetData>
    <row r="1" spans="1:16" ht="13.5" customHeight="1">
      <c r="A1" s="5390" t="s">
        <v>1080</v>
      </c>
      <c r="B1" s="5390"/>
      <c r="C1" s="5390"/>
      <c r="D1" s="5390"/>
      <c r="E1" s="5390"/>
      <c r="F1" s="5390"/>
      <c r="G1" s="5390"/>
      <c r="H1" s="5390"/>
      <c r="I1" s="5390"/>
      <c r="J1" s="5390"/>
      <c r="K1" s="5390"/>
      <c r="L1" s="5390"/>
      <c r="M1" s="5390"/>
      <c r="N1" s="5390"/>
      <c r="O1" s="5390"/>
    </row>
    <row r="2" spans="1:16" ht="13.5" customHeight="1" thickBot="1">
      <c r="A2" s="1254"/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5391" t="s">
        <v>472</v>
      </c>
      <c r="O2" s="5391"/>
    </row>
    <row r="3" spans="1:16" ht="14.25" customHeight="1">
      <c r="A3" s="5392" t="s">
        <v>1</v>
      </c>
      <c r="B3" s="5395" t="s">
        <v>442</v>
      </c>
      <c r="C3" s="5395" t="s">
        <v>450</v>
      </c>
      <c r="D3" s="5398" t="s">
        <v>4</v>
      </c>
      <c r="E3" s="5401" t="s">
        <v>471</v>
      </c>
      <c r="F3" s="5401" t="s">
        <v>6</v>
      </c>
      <c r="G3" s="5404" t="s">
        <v>7</v>
      </c>
      <c r="H3" s="5404" t="s">
        <v>470</v>
      </c>
      <c r="I3" s="5407" t="s">
        <v>469</v>
      </c>
      <c r="J3" s="5408"/>
      <c r="K3" s="5408"/>
      <c r="L3" s="5408"/>
      <c r="M3" s="5409"/>
      <c r="N3" s="5407" t="s">
        <v>468</v>
      </c>
      <c r="O3" s="5412" t="s">
        <v>467</v>
      </c>
    </row>
    <row r="4" spans="1:16" ht="12.75" customHeight="1">
      <c r="A4" s="5393"/>
      <c r="B4" s="5396"/>
      <c r="C4" s="5396"/>
      <c r="D4" s="5399"/>
      <c r="E4" s="5402"/>
      <c r="F4" s="5402"/>
      <c r="G4" s="5405"/>
      <c r="H4" s="5405"/>
      <c r="I4" s="5405" t="s">
        <v>466</v>
      </c>
      <c r="J4" s="5396" t="s">
        <v>295</v>
      </c>
      <c r="K4" s="5396"/>
      <c r="L4" s="5405" t="s">
        <v>465</v>
      </c>
      <c r="M4" s="5415" t="s">
        <v>464</v>
      </c>
      <c r="N4" s="5410"/>
      <c r="O4" s="5413"/>
    </row>
    <row r="5" spans="1:16" ht="77.25" thickBot="1">
      <c r="A5" s="5394"/>
      <c r="B5" s="5397"/>
      <c r="C5" s="5397"/>
      <c r="D5" s="5400"/>
      <c r="E5" s="5403"/>
      <c r="F5" s="5403"/>
      <c r="G5" s="5406"/>
      <c r="H5" s="5406"/>
      <c r="I5" s="5406"/>
      <c r="J5" s="3847" t="s">
        <v>463</v>
      </c>
      <c r="K5" s="3847" t="s">
        <v>462</v>
      </c>
      <c r="L5" s="5406"/>
      <c r="M5" s="5403"/>
      <c r="N5" s="5411"/>
      <c r="O5" s="5414"/>
    </row>
    <row r="6" spans="1:16" ht="9.75" customHeight="1">
      <c r="A6" s="1255" t="s">
        <v>9</v>
      </c>
      <c r="B6" s="1256" t="s">
        <v>10</v>
      </c>
      <c r="C6" s="1256" t="s">
        <v>11</v>
      </c>
      <c r="D6" s="1256" t="s">
        <v>12</v>
      </c>
      <c r="E6" s="1256" t="s">
        <v>13</v>
      </c>
      <c r="F6" s="1256" t="s">
        <v>14</v>
      </c>
      <c r="G6" s="1256" t="s">
        <v>15</v>
      </c>
      <c r="H6" s="1256" t="s">
        <v>16</v>
      </c>
      <c r="I6" s="1256" t="s">
        <v>461</v>
      </c>
      <c r="J6" s="1256" t="s">
        <v>460</v>
      </c>
      <c r="K6" s="1256" t="s">
        <v>459</v>
      </c>
      <c r="L6" s="1256" t="s">
        <v>458</v>
      </c>
      <c r="M6" s="1256" t="s">
        <v>457</v>
      </c>
      <c r="N6" s="1257" t="s">
        <v>456</v>
      </c>
      <c r="O6" s="1257" t="s">
        <v>455</v>
      </c>
    </row>
    <row r="7" spans="1:16" ht="24" customHeight="1">
      <c r="A7" s="5376" t="s">
        <v>17</v>
      </c>
      <c r="B7" s="5417" t="s">
        <v>18</v>
      </c>
      <c r="C7" s="5417"/>
      <c r="D7" s="3843"/>
      <c r="E7" s="3844">
        <f>SUM(E8)</f>
        <v>3629000</v>
      </c>
      <c r="F7" s="3844">
        <f>SUM(F8)</f>
        <v>3561042</v>
      </c>
      <c r="G7" s="3845">
        <f>SUM(G8)</f>
        <v>2553703.08</v>
      </c>
      <c r="H7" s="3845">
        <f>SUM(H8)</f>
        <v>2553703.08</v>
      </c>
      <c r="I7" s="3845">
        <f>SUM(J7:K7)</f>
        <v>2553703.08</v>
      </c>
      <c r="J7" s="3845">
        <f>SUM(J8)</f>
        <v>377616</v>
      </c>
      <c r="K7" s="3845">
        <f>SUM(K8)</f>
        <v>2176087.08</v>
      </c>
      <c r="L7" s="3845">
        <v>0</v>
      </c>
      <c r="M7" s="3845">
        <f>SUM(M8)</f>
        <v>0</v>
      </c>
      <c r="N7" s="3845">
        <f>SUM(N8)</f>
        <v>0</v>
      </c>
      <c r="O7" s="3846">
        <f>G7/F7</f>
        <v>0.71712242652571923</v>
      </c>
      <c r="P7" s="77"/>
    </row>
    <row r="8" spans="1:16" ht="26.25" customHeight="1">
      <c r="A8" s="5376"/>
      <c r="B8" s="5418" t="s">
        <v>43</v>
      </c>
      <c r="C8" s="5421" t="s">
        <v>44</v>
      </c>
      <c r="D8" s="3848" t="s">
        <v>454</v>
      </c>
      <c r="E8" s="3849">
        <f>SUM(E9:E13)</f>
        <v>3629000</v>
      </c>
      <c r="F8" s="3849">
        <f>SUM(F9:F13)</f>
        <v>3561042</v>
      </c>
      <c r="G8" s="3850">
        <f>SUM(H8,N8)</f>
        <v>2553703.08</v>
      </c>
      <c r="H8" s="3850">
        <f>SUM(I8,L8,M8)</f>
        <v>2553703.08</v>
      </c>
      <c r="I8" s="3850">
        <f>SUM(J8:K8)</f>
        <v>2553703.08</v>
      </c>
      <c r="J8" s="3850">
        <f>SUM(J9:J13)</f>
        <v>377616</v>
      </c>
      <c r="K8" s="3850">
        <f>SUM(K9:K13)</f>
        <v>2176087.08</v>
      </c>
      <c r="L8" s="3850">
        <v>0</v>
      </c>
      <c r="M8" s="3850">
        <v>0</v>
      </c>
      <c r="N8" s="3851">
        <v>0</v>
      </c>
      <c r="O8" s="3852">
        <f t="shared" ref="O8:O35" si="0">G8/F8</f>
        <v>0.71712242652571923</v>
      </c>
    </row>
    <row r="9" spans="1:16" ht="12.75">
      <c r="A9" s="5376"/>
      <c r="B9" s="5419"/>
      <c r="C9" s="5422"/>
      <c r="D9" s="3853" t="s">
        <v>337</v>
      </c>
      <c r="E9" s="3854">
        <v>302574</v>
      </c>
      <c r="F9" s="3854">
        <v>315626</v>
      </c>
      <c r="G9" s="3855">
        <f>H9+N9</f>
        <v>315626</v>
      </c>
      <c r="H9" s="3855">
        <f>I9+L9+M9</f>
        <v>315626</v>
      </c>
      <c r="I9" s="3855">
        <f>J9+K9</f>
        <v>315626</v>
      </c>
      <c r="J9" s="3855">
        <v>315626</v>
      </c>
      <c r="K9" s="3855"/>
      <c r="L9" s="3856"/>
      <c r="M9" s="3856"/>
      <c r="N9" s="3857"/>
      <c r="O9" s="3858">
        <f t="shared" si="0"/>
        <v>1</v>
      </c>
    </row>
    <row r="10" spans="1:16" ht="12.75">
      <c r="A10" s="5376"/>
      <c r="B10" s="5419"/>
      <c r="C10" s="5422"/>
      <c r="D10" s="3853" t="s">
        <v>315</v>
      </c>
      <c r="E10" s="3854">
        <v>52013</v>
      </c>
      <c r="F10" s="3854">
        <v>54257</v>
      </c>
      <c r="G10" s="3855">
        <f>H10+N10</f>
        <v>54257</v>
      </c>
      <c r="H10" s="3855">
        <f>I10+L10+M10</f>
        <v>54257</v>
      </c>
      <c r="I10" s="3855">
        <f>J10+K10</f>
        <v>54257</v>
      </c>
      <c r="J10" s="3855">
        <v>54257</v>
      </c>
      <c r="K10" s="3855"/>
      <c r="L10" s="3856"/>
      <c r="M10" s="3856"/>
      <c r="N10" s="3857"/>
      <c r="O10" s="3858">
        <f t="shared" si="0"/>
        <v>1</v>
      </c>
    </row>
    <row r="11" spans="1:16" ht="12.75">
      <c r="A11" s="5376"/>
      <c r="B11" s="5419"/>
      <c r="C11" s="5422"/>
      <c r="D11" s="3853" t="s">
        <v>314</v>
      </c>
      <c r="E11" s="3854">
        <v>7413</v>
      </c>
      <c r="F11" s="3854">
        <v>7733</v>
      </c>
      <c r="G11" s="3855">
        <f>H11+N11</f>
        <v>7733</v>
      </c>
      <c r="H11" s="3855">
        <f>I11+L11+M11</f>
        <v>7733</v>
      </c>
      <c r="I11" s="3855">
        <f>J11+K11</f>
        <v>7733</v>
      </c>
      <c r="J11" s="3855">
        <v>7733</v>
      </c>
      <c r="K11" s="3855"/>
      <c r="L11" s="3856"/>
      <c r="M11" s="3856"/>
      <c r="N11" s="3857"/>
      <c r="O11" s="3858">
        <f t="shared" si="0"/>
        <v>1</v>
      </c>
    </row>
    <row r="12" spans="1:16" ht="12.75">
      <c r="A12" s="5376"/>
      <c r="B12" s="5419"/>
      <c r="C12" s="5422"/>
      <c r="D12" s="3853" t="s">
        <v>313</v>
      </c>
      <c r="E12" s="3854">
        <v>0</v>
      </c>
      <c r="F12" s="3854">
        <v>38650</v>
      </c>
      <c r="G12" s="3855">
        <f>H12+N12</f>
        <v>34858</v>
      </c>
      <c r="H12" s="3855">
        <f>I12+L12+M12</f>
        <v>34858</v>
      </c>
      <c r="I12" s="3855">
        <f>J12+K12</f>
        <v>34858</v>
      </c>
      <c r="J12" s="3855"/>
      <c r="K12" s="3855">
        <v>34858</v>
      </c>
      <c r="L12" s="3856"/>
      <c r="M12" s="3856"/>
      <c r="N12" s="3857"/>
      <c r="O12" s="3858">
        <f t="shared" si="0"/>
        <v>0.90188874514877104</v>
      </c>
    </row>
    <row r="13" spans="1:16" ht="12.75">
      <c r="A13" s="5416"/>
      <c r="B13" s="5420"/>
      <c r="C13" s="5423"/>
      <c r="D13" s="3860" t="s">
        <v>416</v>
      </c>
      <c r="E13" s="3854">
        <v>3267000</v>
      </c>
      <c r="F13" s="3854">
        <v>3144776</v>
      </c>
      <c r="G13" s="3855">
        <f>H13+N13</f>
        <v>2141229.08</v>
      </c>
      <c r="H13" s="3855">
        <f>I13+L13+M13</f>
        <v>2141229.08</v>
      </c>
      <c r="I13" s="3855">
        <f>J13+K13</f>
        <v>2141229.08</v>
      </c>
      <c r="J13" s="3855"/>
      <c r="K13" s="3855">
        <v>2141229.08</v>
      </c>
      <c r="L13" s="3856"/>
      <c r="M13" s="3856"/>
      <c r="N13" s="3857"/>
      <c r="O13" s="3858">
        <f t="shared" si="0"/>
        <v>0.6808844509116071</v>
      </c>
    </row>
    <row r="14" spans="1:16" ht="26.25" customHeight="1">
      <c r="A14" s="5424" t="s">
        <v>440</v>
      </c>
      <c r="B14" s="5425" t="s">
        <v>70</v>
      </c>
      <c r="C14" s="5426"/>
      <c r="D14" s="3843"/>
      <c r="E14" s="3844">
        <f>SUM(E15,E20)</f>
        <v>51907000</v>
      </c>
      <c r="F14" s="3844">
        <f>SUM(F15,F20)</f>
        <v>72287443</v>
      </c>
      <c r="G14" s="3845">
        <f>SUM(G15,G20)</f>
        <v>72260771.420000002</v>
      </c>
      <c r="H14" s="3845">
        <f>SUM(H15,H20)</f>
        <v>72260771.420000002</v>
      </c>
      <c r="I14" s="3845">
        <f>SUM(I15,I20)</f>
        <v>282766.79000000004</v>
      </c>
      <c r="J14" s="3845">
        <f>J15+J20</f>
        <v>136438</v>
      </c>
      <c r="K14" s="3845">
        <f>SUM(K15,K20)</f>
        <v>146328.79</v>
      </c>
      <c r="L14" s="3845">
        <f>SUM(L15,L20)</f>
        <v>71978004.629999995</v>
      </c>
      <c r="M14" s="3845">
        <v>0</v>
      </c>
      <c r="N14" s="3845">
        <v>0</v>
      </c>
      <c r="O14" s="3846">
        <f t="shared" si="0"/>
        <v>0.99963103439694223</v>
      </c>
    </row>
    <row r="15" spans="1:16" ht="27.75" customHeight="1">
      <c r="A15" s="5376"/>
      <c r="B15" s="5418" t="s">
        <v>437</v>
      </c>
      <c r="C15" s="5421" t="s">
        <v>86</v>
      </c>
      <c r="D15" s="3848" t="s">
        <v>454</v>
      </c>
      <c r="E15" s="3861">
        <f>SUM(E16:E19)</f>
        <v>51604000</v>
      </c>
      <c r="F15" s="3861">
        <f>SUM(F16:F19)</f>
        <v>71978005</v>
      </c>
      <c r="G15" s="3862">
        <f>SUM(H15,N15)</f>
        <v>71978004.629999995</v>
      </c>
      <c r="H15" s="3862">
        <f>SUM(I15,L15,M15)</f>
        <v>71978004.629999995</v>
      </c>
      <c r="I15" s="3862">
        <v>0</v>
      </c>
      <c r="J15" s="3862">
        <v>0</v>
      </c>
      <c r="K15" s="3862">
        <v>0</v>
      </c>
      <c r="L15" s="3862">
        <f>SUM(L16:L19)</f>
        <v>71978004.629999995</v>
      </c>
      <c r="M15" s="3862">
        <v>0</v>
      </c>
      <c r="N15" s="3863">
        <v>0</v>
      </c>
      <c r="O15" s="3864">
        <f t="shared" si="0"/>
        <v>0.99999999485954072</v>
      </c>
      <c r="P15" s="77"/>
    </row>
    <row r="16" spans="1:16" ht="12.75">
      <c r="A16" s="5376"/>
      <c r="B16" s="5419"/>
      <c r="C16" s="5422"/>
      <c r="D16" s="3865" t="s">
        <v>436</v>
      </c>
      <c r="E16" s="3866">
        <v>1300000</v>
      </c>
      <c r="F16" s="3866">
        <v>608599</v>
      </c>
      <c r="G16" s="3867">
        <f>H16+N16</f>
        <v>608598.93999999994</v>
      </c>
      <c r="H16" s="3867">
        <f>I16+L16+M16</f>
        <v>608598.93999999994</v>
      </c>
      <c r="I16" s="3867"/>
      <c r="J16" s="3867"/>
      <c r="K16" s="3867"/>
      <c r="L16" s="3867">
        <v>608598.93999999994</v>
      </c>
      <c r="M16" s="3867"/>
      <c r="N16" s="3868"/>
      <c r="O16" s="3869">
        <f t="shared" si="0"/>
        <v>0.99999990141291717</v>
      </c>
      <c r="P16" s="77"/>
    </row>
    <row r="17" spans="1:16" ht="12.75">
      <c r="A17" s="5376"/>
      <c r="B17" s="5419"/>
      <c r="C17" s="5422"/>
      <c r="D17" s="3865" t="s">
        <v>253</v>
      </c>
      <c r="E17" s="3866">
        <v>3000000</v>
      </c>
      <c r="F17" s="3866">
        <v>5840422</v>
      </c>
      <c r="G17" s="3867">
        <f>H17+N17</f>
        <v>5840422</v>
      </c>
      <c r="H17" s="3867">
        <f>I17+L17+M17</f>
        <v>5840422</v>
      </c>
      <c r="I17" s="3867"/>
      <c r="J17" s="3867"/>
      <c r="K17" s="3867"/>
      <c r="L17" s="3867">
        <v>5840422</v>
      </c>
      <c r="M17" s="3867"/>
      <c r="N17" s="3868"/>
      <c r="O17" s="3869">
        <f t="shared" si="0"/>
        <v>1</v>
      </c>
      <c r="P17" s="77"/>
    </row>
    <row r="18" spans="1:16" ht="12.75">
      <c r="A18" s="5376"/>
      <c r="B18" s="5419"/>
      <c r="C18" s="5422"/>
      <c r="D18" s="3870" t="s">
        <v>435</v>
      </c>
      <c r="E18" s="3871">
        <v>43604000</v>
      </c>
      <c r="F18" s="3871">
        <v>60675302</v>
      </c>
      <c r="G18" s="3867">
        <f>H18+N18</f>
        <v>60675301.780000001</v>
      </c>
      <c r="H18" s="3867">
        <f>I18+L18+M18</f>
        <v>60675301.780000001</v>
      </c>
      <c r="I18" s="3872"/>
      <c r="J18" s="3872"/>
      <c r="K18" s="3872"/>
      <c r="L18" s="3867">
        <v>60675301.780000001</v>
      </c>
      <c r="M18" s="3872"/>
      <c r="N18" s="3873"/>
      <c r="O18" s="3869">
        <f t="shared" si="0"/>
        <v>0.9999999963741425</v>
      </c>
    </row>
    <row r="19" spans="1:16" ht="12.75">
      <c r="A19" s="5376"/>
      <c r="B19" s="5420"/>
      <c r="C19" s="5423"/>
      <c r="D19" s="3870" t="s">
        <v>341</v>
      </c>
      <c r="E19" s="3871">
        <v>3700000</v>
      </c>
      <c r="F19" s="3871">
        <v>4853682</v>
      </c>
      <c r="G19" s="3867">
        <f>H19+N19</f>
        <v>4853681.91</v>
      </c>
      <c r="H19" s="3867">
        <f>I19+L19+M19</f>
        <v>4853681.91</v>
      </c>
      <c r="I19" s="3872"/>
      <c r="J19" s="3872"/>
      <c r="K19" s="3872"/>
      <c r="L19" s="3867">
        <v>4853681.91</v>
      </c>
      <c r="M19" s="3872"/>
      <c r="N19" s="3873"/>
      <c r="O19" s="3869">
        <f t="shared" si="0"/>
        <v>0.99999998145737612</v>
      </c>
    </row>
    <row r="20" spans="1:16" ht="27" customHeight="1">
      <c r="A20" s="5376"/>
      <c r="B20" s="5418" t="s">
        <v>422</v>
      </c>
      <c r="C20" s="5421" t="s">
        <v>44</v>
      </c>
      <c r="D20" s="3848" t="s">
        <v>454</v>
      </c>
      <c r="E20" s="3861">
        <f>SUM(E21:E24)</f>
        <v>303000</v>
      </c>
      <c r="F20" s="3861">
        <f>SUM(F21:F24)</f>
        <v>309438</v>
      </c>
      <c r="G20" s="3862">
        <f>SUM(H20,N20)</f>
        <v>282766.79000000004</v>
      </c>
      <c r="H20" s="3862">
        <f>SUM(I20,L20,M20)</f>
        <v>282766.79000000004</v>
      </c>
      <c r="I20" s="3862">
        <f>SUM(J20:K20)</f>
        <v>282766.79000000004</v>
      </c>
      <c r="J20" s="3862">
        <f>SUM(J21:J24)</f>
        <v>136438</v>
      </c>
      <c r="K20" s="3862">
        <f>SUM(K21:K24)</f>
        <v>146328.79</v>
      </c>
      <c r="L20" s="3862">
        <v>0</v>
      </c>
      <c r="M20" s="3862">
        <v>0</v>
      </c>
      <c r="N20" s="3863">
        <v>0</v>
      </c>
      <c r="O20" s="3864">
        <f t="shared" si="0"/>
        <v>0.91380758019377073</v>
      </c>
      <c r="P20" s="77"/>
    </row>
    <row r="21" spans="1:16" ht="12.75">
      <c r="A21" s="5376"/>
      <c r="B21" s="5419"/>
      <c r="C21" s="5422"/>
      <c r="D21" s="3865" t="s">
        <v>337</v>
      </c>
      <c r="E21" s="3866">
        <v>108660</v>
      </c>
      <c r="F21" s="3866">
        <v>114041</v>
      </c>
      <c r="G21" s="3867">
        <f t="shared" ref="G21:G24" si="1">H21+N21</f>
        <v>114041</v>
      </c>
      <c r="H21" s="3867">
        <f t="shared" ref="H21:H24" si="2">I21+L21+M21</f>
        <v>114041</v>
      </c>
      <c r="I21" s="3867">
        <f t="shared" ref="I21:I24" si="3">J21+K21</f>
        <v>114041</v>
      </c>
      <c r="J21" s="3867">
        <v>114041</v>
      </c>
      <c r="K21" s="3867"/>
      <c r="L21" s="3867"/>
      <c r="M21" s="3867"/>
      <c r="N21" s="3868"/>
      <c r="O21" s="3869">
        <f t="shared" si="0"/>
        <v>1</v>
      </c>
      <c r="P21" s="77"/>
    </row>
    <row r="22" spans="1:16" ht="12.75">
      <c r="A22" s="5376"/>
      <c r="B22" s="5419"/>
      <c r="C22" s="5422"/>
      <c r="D22" s="3865" t="s">
        <v>315</v>
      </c>
      <c r="E22" s="3866">
        <v>18678</v>
      </c>
      <c r="F22" s="3866">
        <v>19603</v>
      </c>
      <c r="G22" s="3867">
        <f t="shared" si="1"/>
        <v>19603</v>
      </c>
      <c r="H22" s="3867">
        <f t="shared" si="2"/>
        <v>19603</v>
      </c>
      <c r="I22" s="3867">
        <f t="shared" si="3"/>
        <v>19603</v>
      </c>
      <c r="J22" s="3867">
        <v>19603</v>
      </c>
      <c r="K22" s="3867"/>
      <c r="L22" s="3867"/>
      <c r="M22" s="3867"/>
      <c r="N22" s="3868"/>
      <c r="O22" s="3869">
        <f t="shared" si="0"/>
        <v>1</v>
      </c>
      <c r="P22" s="77"/>
    </row>
    <row r="23" spans="1:16" ht="12.75">
      <c r="A23" s="5376"/>
      <c r="B23" s="5419"/>
      <c r="C23" s="5422"/>
      <c r="D23" s="3865" t="s">
        <v>314</v>
      </c>
      <c r="E23" s="3866">
        <v>2662</v>
      </c>
      <c r="F23" s="3866">
        <v>2794</v>
      </c>
      <c r="G23" s="3867">
        <f t="shared" si="1"/>
        <v>2794</v>
      </c>
      <c r="H23" s="3867">
        <f t="shared" si="2"/>
        <v>2794</v>
      </c>
      <c r="I23" s="3867">
        <f t="shared" si="3"/>
        <v>2794</v>
      </c>
      <c r="J23" s="3867">
        <v>2794</v>
      </c>
      <c r="K23" s="3867"/>
      <c r="L23" s="3867"/>
      <c r="M23" s="3867"/>
      <c r="N23" s="3868"/>
      <c r="O23" s="3869">
        <f t="shared" si="0"/>
        <v>1</v>
      </c>
      <c r="P23" s="77"/>
    </row>
    <row r="24" spans="1:16" ht="12.75">
      <c r="A24" s="5416"/>
      <c r="B24" s="5420"/>
      <c r="C24" s="5423"/>
      <c r="D24" s="3870" t="s">
        <v>312</v>
      </c>
      <c r="E24" s="3871">
        <v>173000</v>
      </c>
      <c r="F24" s="3871">
        <v>173000</v>
      </c>
      <c r="G24" s="3867">
        <f t="shared" si="1"/>
        <v>146328.79</v>
      </c>
      <c r="H24" s="3867">
        <f t="shared" si="2"/>
        <v>146328.79</v>
      </c>
      <c r="I24" s="3867">
        <f t="shared" si="3"/>
        <v>146328.79</v>
      </c>
      <c r="J24" s="3867"/>
      <c r="K24" s="3867">
        <v>146328.79</v>
      </c>
      <c r="L24" s="3872"/>
      <c r="M24" s="3872"/>
      <c r="N24" s="3873"/>
      <c r="O24" s="3869">
        <f t="shared" si="0"/>
        <v>0.84583115606936421</v>
      </c>
    </row>
    <row r="25" spans="1:16" ht="26.25" customHeight="1">
      <c r="A25" s="5424" t="s">
        <v>421</v>
      </c>
      <c r="B25" s="5425" t="s">
        <v>105</v>
      </c>
      <c r="C25" s="5426"/>
      <c r="D25" s="3874"/>
      <c r="E25" s="3875">
        <f t="shared" ref="E25:K25" si="4">SUM(E26)</f>
        <v>58000</v>
      </c>
      <c r="F25" s="3875">
        <f t="shared" si="4"/>
        <v>60614</v>
      </c>
      <c r="G25" s="3876">
        <f t="shared" si="4"/>
        <v>60614</v>
      </c>
      <c r="H25" s="3876">
        <f t="shared" si="4"/>
        <v>60614</v>
      </c>
      <c r="I25" s="3876">
        <f t="shared" si="4"/>
        <v>60614</v>
      </c>
      <c r="J25" s="3876">
        <f t="shared" si="4"/>
        <v>60614</v>
      </c>
      <c r="K25" s="3876">
        <f t="shared" si="4"/>
        <v>0</v>
      </c>
      <c r="L25" s="3876">
        <v>0</v>
      </c>
      <c r="M25" s="3876">
        <v>0</v>
      </c>
      <c r="N25" s="3876">
        <v>0</v>
      </c>
      <c r="O25" s="3877">
        <f t="shared" si="0"/>
        <v>1</v>
      </c>
    </row>
    <row r="26" spans="1:16" ht="27.75" customHeight="1">
      <c r="A26" s="5376"/>
      <c r="B26" s="5418" t="s">
        <v>419</v>
      </c>
      <c r="C26" s="5421" t="s">
        <v>44</v>
      </c>
      <c r="D26" s="3848" t="s">
        <v>454</v>
      </c>
      <c r="E26" s="3861">
        <f>SUM(E27:E29)</f>
        <v>58000</v>
      </c>
      <c r="F26" s="3861">
        <f>SUM(F27:F29)</f>
        <v>60614</v>
      </c>
      <c r="G26" s="3862">
        <f>SUM(H26,N26)</f>
        <v>60614</v>
      </c>
      <c r="H26" s="3862">
        <f>SUM(I26,L26,M26)</f>
        <v>60614</v>
      </c>
      <c r="I26" s="3862">
        <f>SUM(J26:K26)</f>
        <v>60614</v>
      </c>
      <c r="J26" s="3862">
        <f>SUM(J27:J29)</f>
        <v>60614</v>
      </c>
      <c r="K26" s="3862">
        <f>SUM(K27:K29)</f>
        <v>0</v>
      </c>
      <c r="L26" s="3862">
        <v>0</v>
      </c>
      <c r="M26" s="3862">
        <v>0</v>
      </c>
      <c r="N26" s="3863">
        <v>0</v>
      </c>
      <c r="O26" s="3864">
        <f t="shared" si="0"/>
        <v>1</v>
      </c>
      <c r="P26" s="77"/>
    </row>
    <row r="27" spans="1:16" ht="12.75">
      <c r="A27" s="5376"/>
      <c r="B27" s="5419"/>
      <c r="C27" s="5422"/>
      <c r="D27" s="3865" t="s">
        <v>337</v>
      </c>
      <c r="E27" s="3866">
        <v>48480</v>
      </c>
      <c r="F27" s="3866">
        <v>50665</v>
      </c>
      <c r="G27" s="3867">
        <f>H27+N27</f>
        <v>50665</v>
      </c>
      <c r="H27" s="3867">
        <f>I27+L27+M27</f>
        <v>50665</v>
      </c>
      <c r="I27" s="3867">
        <f>J27+K27</f>
        <v>50665</v>
      </c>
      <c r="J27" s="3867">
        <v>50665</v>
      </c>
      <c r="K27" s="3867"/>
      <c r="L27" s="3867"/>
      <c r="M27" s="3867"/>
      <c r="N27" s="3868"/>
      <c r="O27" s="3869">
        <f t="shared" si="0"/>
        <v>1</v>
      </c>
      <c r="P27" s="77"/>
    </row>
    <row r="28" spans="1:16" ht="12.75">
      <c r="A28" s="5376"/>
      <c r="B28" s="5419"/>
      <c r="C28" s="5422"/>
      <c r="D28" s="3865" t="s">
        <v>315</v>
      </c>
      <c r="E28" s="3866">
        <v>8333</v>
      </c>
      <c r="F28" s="3866">
        <v>8709</v>
      </c>
      <c r="G28" s="3867">
        <f>H28+N28</f>
        <v>8709</v>
      </c>
      <c r="H28" s="3867">
        <f>I28+L28+M28</f>
        <v>8709</v>
      </c>
      <c r="I28" s="3867">
        <f>J28+K28</f>
        <v>8709</v>
      </c>
      <c r="J28" s="3867">
        <v>8709</v>
      </c>
      <c r="K28" s="3867"/>
      <c r="L28" s="3867"/>
      <c r="M28" s="3867"/>
      <c r="N28" s="3868"/>
      <c r="O28" s="3869">
        <f t="shared" si="0"/>
        <v>1</v>
      </c>
      <c r="P28" s="77"/>
    </row>
    <row r="29" spans="1:16" ht="12.75">
      <c r="A29" s="5376"/>
      <c r="B29" s="5419"/>
      <c r="C29" s="5422"/>
      <c r="D29" s="3878" t="s">
        <v>314</v>
      </c>
      <c r="E29" s="3879">
        <v>1187</v>
      </c>
      <c r="F29" s="3879">
        <v>1240</v>
      </c>
      <c r="G29" s="3880">
        <f>H29+N29</f>
        <v>1240</v>
      </c>
      <c r="H29" s="3880">
        <f>I29+L29+M29</f>
        <v>1240</v>
      </c>
      <c r="I29" s="3880">
        <f>J29+K29</f>
        <v>1240</v>
      </c>
      <c r="J29" s="3880">
        <v>1240</v>
      </c>
      <c r="K29" s="3880"/>
      <c r="L29" s="3880"/>
      <c r="M29" s="3880"/>
      <c r="N29" s="3881"/>
      <c r="O29" s="1262">
        <f t="shared" si="0"/>
        <v>1</v>
      </c>
      <c r="P29" s="77"/>
    </row>
    <row r="30" spans="1:16" ht="26.25" customHeight="1">
      <c r="A30" s="5424" t="s">
        <v>414</v>
      </c>
      <c r="B30" s="5427" t="s">
        <v>117</v>
      </c>
      <c r="C30" s="5427"/>
      <c r="D30" s="3874"/>
      <c r="E30" s="3875">
        <f t="shared" ref="E30:K30" si="5">E31</f>
        <v>347000</v>
      </c>
      <c r="F30" s="3875">
        <f t="shared" si="5"/>
        <v>359301</v>
      </c>
      <c r="G30" s="3876">
        <f t="shared" si="5"/>
        <v>359301</v>
      </c>
      <c r="H30" s="3876">
        <f t="shared" si="5"/>
        <v>359301</v>
      </c>
      <c r="I30" s="3876">
        <f t="shared" si="5"/>
        <v>359301</v>
      </c>
      <c r="J30" s="3876">
        <f t="shared" si="5"/>
        <v>299301</v>
      </c>
      <c r="K30" s="3876">
        <f t="shared" si="5"/>
        <v>60000</v>
      </c>
      <c r="L30" s="3876">
        <v>0</v>
      </c>
      <c r="M30" s="3876">
        <v>0</v>
      </c>
      <c r="N30" s="3876">
        <f>N31</f>
        <v>0</v>
      </c>
      <c r="O30" s="3877">
        <f t="shared" si="0"/>
        <v>1</v>
      </c>
    </row>
    <row r="31" spans="1:16" ht="27.75" customHeight="1">
      <c r="A31" s="5376"/>
      <c r="B31" s="5418" t="s">
        <v>411</v>
      </c>
      <c r="C31" s="5421" t="s">
        <v>447</v>
      </c>
      <c r="D31" s="3848" t="s">
        <v>454</v>
      </c>
      <c r="E31" s="3861">
        <f>SUM(E32:E35)</f>
        <v>347000</v>
      </c>
      <c r="F31" s="3861">
        <f>SUM(F32:F35)</f>
        <v>359301</v>
      </c>
      <c r="G31" s="3862">
        <f>SUM(H31,N31)</f>
        <v>359301</v>
      </c>
      <c r="H31" s="3862">
        <f>SUM(I31,L31,M31)</f>
        <v>359301</v>
      </c>
      <c r="I31" s="3862">
        <f>SUM(J31:K31)</f>
        <v>359301</v>
      </c>
      <c r="J31" s="3862">
        <f>SUM(J32:J35)</f>
        <v>299301</v>
      </c>
      <c r="K31" s="3862">
        <f>SUM(K32:K35)</f>
        <v>60000</v>
      </c>
      <c r="L31" s="3862">
        <v>0</v>
      </c>
      <c r="M31" s="3862">
        <v>0</v>
      </c>
      <c r="N31" s="3863">
        <v>0</v>
      </c>
      <c r="O31" s="3852">
        <f t="shared" si="0"/>
        <v>1</v>
      </c>
      <c r="P31" s="77"/>
    </row>
    <row r="32" spans="1:16" ht="12.75">
      <c r="A32" s="5376"/>
      <c r="B32" s="5419"/>
      <c r="C32" s="5422"/>
      <c r="D32" s="3865" t="s">
        <v>337</v>
      </c>
      <c r="E32" s="3866">
        <v>238410</v>
      </c>
      <c r="F32" s="3866">
        <v>248630</v>
      </c>
      <c r="G32" s="3867">
        <f>H32+N32</f>
        <v>248630</v>
      </c>
      <c r="H32" s="3867">
        <f>I32+L32+M32</f>
        <v>248630</v>
      </c>
      <c r="I32" s="3867">
        <f>J32+K32</f>
        <v>248630</v>
      </c>
      <c r="J32" s="3867">
        <v>248630</v>
      </c>
      <c r="K32" s="3867"/>
      <c r="L32" s="3862"/>
      <c r="M32" s="3862"/>
      <c r="N32" s="3863"/>
      <c r="O32" s="3858">
        <f t="shared" si="0"/>
        <v>1</v>
      </c>
      <c r="P32" s="77"/>
    </row>
    <row r="33" spans="1:16" ht="12.75">
      <c r="A33" s="5376"/>
      <c r="B33" s="5419"/>
      <c r="C33" s="5422"/>
      <c r="D33" s="3865" t="s">
        <v>315</v>
      </c>
      <c r="E33" s="3866">
        <v>42740</v>
      </c>
      <c r="F33" s="3866">
        <v>44571</v>
      </c>
      <c r="G33" s="3867">
        <f>H33+N33</f>
        <v>44571</v>
      </c>
      <c r="H33" s="3867">
        <f>I33+L33+M33</f>
        <v>44571</v>
      </c>
      <c r="I33" s="3867">
        <f>J33+K33</f>
        <v>44571</v>
      </c>
      <c r="J33" s="3867">
        <v>44571</v>
      </c>
      <c r="K33" s="3867"/>
      <c r="L33" s="3862"/>
      <c r="M33" s="3862"/>
      <c r="N33" s="3863"/>
      <c r="O33" s="3858">
        <f t="shared" si="0"/>
        <v>1</v>
      </c>
      <c r="P33" s="77"/>
    </row>
    <row r="34" spans="1:16" ht="12.75">
      <c r="A34" s="5376"/>
      <c r="B34" s="5419"/>
      <c r="C34" s="5422"/>
      <c r="D34" s="3865" t="s">
        <v>314</v>
      </c>
      <c r="E34" s="3866">
        <v>5850</v>
      </c>
      <c r="F34" s="3866">
        <v>6100</v>
      </c>
      <c r="G34" s="3867">
        <f>H34+N34</f>
        <v>6100</v>
      </c>
      <c r="H34" s="3867">
        <f>I34+L34+M34</f>
        <v>6100</v>
      </c>
      <c r="I34" s="3867">
        <f>J34+K34</f>
        <v>6100</v>
      </c>
      <c r="J34" s="3867">
        <v>6100</v>
      </c>
      <c r="K34" s="3867"/>
      <c r="L34" s="3862"/>
      <c r="M34" s="3862"/>
      <c r="N34" s="3863"/>
      <c r="O34" s="3858">
        <f t="shared" si="0"/>
        <v>1</v>
      </c>
      <c r="P34" s="77"/>
    </row>
    <row r="35" spans="1:16" ht="13.5" thickBot="1">
      <c r="A35" s="5389"/>
      <c r="B35" s="5428"/>
      <c r="C35" s="5429"/>
      <c r="D35" s="3882" t="s">
        <v>312</v>
      </c>
      <c r="E35" s="3883">
        <v>60000</v>
      </c>
      <c r="F35" s="3883">
        <v>60000</v>
      </c>
      <c r="G35" s="3884">
        <f>H35+N35</f>
        <v>60000</v>
      </c>
      <c r="H35" s="3884">
        <f>I35+L35+M35</f>
        <v>60000</v>
      </c>
      <c r="I35" s="3884">
        <f>J35+K35</f>
        <v>60000</v>
      </c>
      <c r="J35" s="3884"/>
      <c r="K35" s="3884">
        <v>60000</v>
      </c>
      <c r="L35" s="3885"/>
      <c r="M35" s="3885"/>
      <c r="N35" s="3886"/>
      <c r="O35" s="3887">
        <f t="shared" si="0"/>
        <v>1</v>
      </c>
      <c r="P35" s="77"/>
    </row>
    <row r="36" spans="1:16" ht="27.75" customHeight="1">
      <c r="A36" s="5430" t="s">
        <v>408</v>
      </c>
      <c r="B36" s="5431" t="s">
        <v>132</v>
      </c>
      <c r="C36" s="5431"/>
      <c r="D36" s="3888"/>
      <c r="E36" s="3889">
        <f t="shared" ref="E36:K36" si="6">SUM(E37,E41,E47)</f>
        <v>550000</v>
      </c>
      <c r="F36" s="3889">
        <f t="shared" si="6"/>
        <v>572818</v>
      </c>
      <c r="G36" s="3890">
        <f t="shared" si="6"/>
        <v>568505.27</v>
      </c>
      <c r="H36" s="3890">
        <f t="shared" si="6"/>
        <v>568505.27</v>
      </c>
      <c r="I36" s="3890">
        <f t="shared" si="6"/>
        <v>561262.57000000007</v>
      </c>
      <c r="J36" s="3890">
        <f t="shared" si="6"/>
        <v>517251.9</v>
      </c>
      <c r="K36" s="3890">
        <f t="shared" si="6"/>
        <v>44010.67</v>
      </c>
      <c r="L36" s="3890">
        <v>0</v>
      </c>
      <c r="M36" s="3890">
        <f>SUM(M37,M41,M47)</f>
        <v>7242.7</v>
      </c>
      <c r="N36" s="3890">
        <f>SUM(N37,N41,N47)</f>
        <v>0</v>
      </c>
      <c r="O36" s="3891">
        <f>G36/F36</f>
        <v>0.99247102919251839</v>
      </c>
    </row>
    <row r="37" spans="1:16" ht="27" customHeight="1">
      <c r="A37" s="5376"/>
      <c r="B37" s="5418" t="s">
        <v>407</v>
      </c>
      <c r="C37" s="5421" t="s">
        <v>133</v>
      </c>
      <c r="D37" s="3848" t="s">
        <v>454</v>
      </c>
      <c r="E37" s="3861">
        <f>SUM(E38:E40)</f>
        <v>276000</v>
      </c>
      <c r="F37" s="3861">
        <f>SUM(F38:F40)</f>
        <v>288620</v>
      </c>
      <c r="G37" s="3862">
        <f>SUM(H37,N37)</f>
        <v>288620</v>
      </c>
      <c r="H37" s="3862">
        <f>SUM(I37,L37,M37)</f>
        <v>288620</v>
      </c>
      <c r="I37" s="3862">
        <f>SUM(J37:K37)</f>
        <v>288620</v>
      </c>
      <c r="J37" s="3862">
        <f>SUM(J38:J40)</f>
        <v>288620</v>
      </c>
      <c r="K37" s="3862">
        <f>SUM(K39:K40)</f>
        <v>0</v>
      </c>
      <c r="L37" s="3862">
        <v>0</v>
      </c>
      <c r="M37" s="3862">
        <v>0</v>
      </c>
      <c r="N37" s="3863">
        <v>0</v>
      </c>
      <c r="O37" s="3852">
        <f>SUM(G37/F37)</f>
        <v>1</v>
      </c>
      <c r="P37" s="77"/>
    </row>
    <row r="38" spans="1:16" ht="12.75">
      <c r="A38" s="5376"/>
      <c r="B38" s="5419"/>
      <c r="C38" s="5422"/>
      <c r="D38" s="3870" t="s">
        <v>337</v>
      </c>
      <c r="E38" s="3871">
        <v>230694</v>
      </c>
      <c r="F38" s="3871">
        <v>241242</v>
      </c>
      <c r="G38" s="3867">
        <f>H38+N38</f>
        <v>241242</v>
      </c>
      <c r="H38" s="3867">
        <f>I38+L38+M38</f>
        <v>241242</v>
      </c>
      <c r="I38" s="3867">
        <f>J38+K38</f>
        <v>241242</v>
      </c>
      <c r="J38" s="3867">
        <v>241242</v>
      </c>
      <c r="K38" s="3872"/>
      <c r="L38" s="3872"/>
      <c r="M38" s="3872"/>
      <c r="N38" s="3873"/>
      <c r="O38" s="3858">
        <f>SUM(G38/F38)</f>
        <v>1</v>
      </c>
    </row>
    <row r="39" spans="1:16" ht="12.75">
      <c r="A39" s="5376"/>
      <c r="B39" s="5419"/>
      <c r="C39" s="5422"/>
      <c r="D39" s="3870" t="s">
        <v>315</v>
      </c>
      <c r="E39" s="3871">
        <v>39655</v>
      </c>
      <c r="F39" s="3871">
        <v>41468</v>
      </c>
      <c r="G39" s="3867">
        <f>H39+N39</f>
        <v>41468</v>
      </c>
      <c r="H39" s="3867">
        <f>I39+L39+M39</f>
        <v>41468</v>
      </c>
      <c r="I39" s="3867">
        <f>J39+K39</f>
        <v>41468</v>
      </c>
      <c r="J39" s="3867">
        <v>41468</v>
      </c>
      <c r="K39" s="3872"/>
      <c r="L39" s="3872"/>
      <c r="M39" s="3872"/>
      <c r="N39" s="3873"/>
      <c r="O39" s="3858">
        <f>SUM(G39/F39)</f>
        <v>1</v>
      </c>
    </row>
    <row r="40" spans="1:16" ht="12.75">
      <c r="A40" s="5416"/>
      <c r="B40" s="5420"/>
      <c r="C40" s="5423"/>
      <c r="D40" s="3870" t="s">
        <v>314</v>
      </c>
      <c r="E40" s="3871">
        <v>5651</v>
      </c>
      <c r="F40" s="3871">
        <v>5910</v>
      </c>
      <c r="G40" s="3867">
        <f>H40+N40</f>
        <v>5910</v>
      </c>
      <c r="H40" s="3867">
        <f>I40+L40+M40</f>
        <v>5910</v>
      </c>
      <c r="I40" s="3867">
        <f>J40+K40</f>
        <v>5910</v>
      </c>
      <c r="J40" s="3867">
        <v>5910</v>
      </c>
      <c r="K40" s="3872"/>
      <c r="L40" s="3872"/>
      <c r="M40" s="3872"/>
      <c r="N40" s="3873"/>
      <c r="O40" s="3858">
        <f>SUM(G40/F40)</f>
        <v>1</v>
      </c>
    </row>
    <row r="41" spans="1:16" ht="29.25" customHeight="1">
      <c r="A41" s="5376" t="s">
        <v>408</v>
      </c>
      <c r="B41" s="5419" t="s">
        <v>404</v>
      </c>
      <c r="C41" s="5422" t="s">
        <v>136</v>
      </c>
      <c r="D41" s="3859" t="s">
        <v>454</v>
      </c>
      <c r="E41" s="3892">
        <f>SUM(E42:E46)</f>
        <v>20000</v>
      </c>
      <c r="F41" s="3892">
        <f>SUM(F42:F46)</f>
        <v>20000</v>
      </c>
      <c r="G41" s="3850">
        <f>SUM(H41,N41)</f>
        <v>15689.64</v>
      </c>
      <c r="H41" s="3850">
        <f>SUM(I41,L41,M41)</f>
        <v>15689.64</v>
      </c>
      <c r="I41" s="3850">
        <f>SUM(J41:K41)</f>
        <v>15689.64</v>
      </c>
      <c r="J41" s="3850">
        <f>SUM(J42:J46)</f>
        <v>5994.9</v>
      </c>
      <c r="K41" s="3850">
        <f>SUM(K42:K46)</f>
        <v>9694.74</v>
      </c>
      <c r="L41" s="3850">
        <v>0</v>
      </c>
      <c r="M41" s="3850">
        <v>0</v>
      </c>
      <c r="N41" s="3851">
        <v>0</v>
      </c>
      <c r="O41" s="3893">
        <f t="shared" ref="O41:O51" si="7">SUM(G41/F41)</f>
        <v>0.78448200000000001</v>
      </c>
      <c r="P41" s="77"/>
    </row>
    <row r="42" spans="1:16" ht="12.75">
      <c r="A42" s="5376"/>
      <c r="B42" s="5419"/>
      <c r="C42" s="5422"/>
      <c r="D42" s="3870" t="s">
        <v>315</v>
      </c>
      <c r="E42" s="3871">
        <v>700</v>
      </c>
      <c r="F42" s="3871">
        <v>700</v>
      </c>
      <c r="G42" s="3867">
        <f>H42+N42</f>
        <v>324.89999999999998</v>
      </c>
      <c r="H42" s="3867">
        <f>I42+L42+M42</f>
        <v>324.89999999999998</v>
      </c>
      <c r="I42" s="3867">
        <f>J42+K42</f>
        <v>324.89999999999998</v>
      </c>
      <c r="J42" s="3867">
        <v>324.89999999999998</v>
      </c>
      <c r="K42" s="3872"/>
      <c r="L42" s="3872"/>
      <c r="M42" s="3872"/>
      <c r="N42" s="3873"/>
      <c r="O42" s="3858">
        <f t="shared" si="7"/>
        <v>0.46414285714285713</v>
      </c>
    </row>
    <row r="43" spans="1:16" ht="12.75">
      <c r="A43" s="5376"/>
      <c r="B43" s="5419"/>
      <c r="C43" s="5422"/>
      <c r="D43" s="3870" t="s">
        <v>314</v>
      </c>
      <c r="E43" s="3871">
        <v>140</v>
      </c>
      <c r="F43" s="3871">
        <v>140</v>
      </c>
      <c r="G43" s="3867">
        <f>H43+N43</f>
        <v>0</v>
      </c>
      <c r="H43" s="3867">
        <f>I43+L43+M43</f>
        <v>0</v>
      </c>
      <c r="I43" s="3867">
        <f>J43+K43</f>
        <v>0</v>
      </c>
      <c r="J43" s="3867">
        <v>0</v>
      </c>
      <c r="K43" s="3872"/>
      <c r="L43" s="3872"/>
      <c r="M43" s="3872"/>
      <c r="N43" s="3873"/>
      <c r="O43" s="3858">
        <f t="shared" si="7"/>
        <v>0</v>
      </c>
    </row>
    <row r="44" spans="1:16" ht="12.75">
      <c r="A44" s="5376"/>
      <c r="B44" s="5419"/>
      <c r="C44" s="5422"/>
      <c r="D44" s="3870" t="s">
        <v>319</v>
      </c>
      <c r="E44" s="3871">
        <v>10430</v>
      </c>
      <c r="F44" s="3871">
        <v>6430</v>
      </c>
      <c r="G44" s="3867">
        <f>H44+N44</f>
        <v>5670</v>
      </c>
      <c r="H44" s="3867">
        <f>I44+L44+M44</f>
        <v>5670</v>
      </c>
      <c r="I44" s="3867">
        <f>J44+K44</f>
        <v>5670</v>
      </c>
      <c r="J44" s="3867">
        <v>5670</v>
      </c>
      <c r="K44" s="3872"/>
      <c r="L44" s="3872"/>
      <c r="M44" s="3872"/>
      <c r="N44" s="3873"/>
      <c r="O44" s="3858">
        <f t="shared" si="7"/>
        <v>0.88180404354587871</v>
      </c>
    </row>
    <row r="45" spans="1:16" ht="12.75">
      <c r="A45" s="5376"/>
      <c r="B45" s="5419"/>
      <c r="C45" s="5422"/>
      <c r="D45" s="3870" t="s">
        <v>313</v>
      </c>
      <c r="E45" s="3871">
        <v>3500</v>
      </c>
      <c r="F45" s="3871">
        <v>3500</v>
      </c>
      <c r="G45" s="3867">
        <f>H45+N45</f>
        <v>1960.44</v>
      </c>
      <c r="H45" s="3867">
        <f>I45+L45+M45</f>
        <v>1960.44</v>
      </c>
      <c r="I45" s="3867">
        <f>J45+K45</f>
        <v>1960.44</v>
      </c>
      <c r="J45" s="3872"/>
      <c r="K45" s="3867">
        <v>1960.44</v>
      </c>
      <c r="L45" s="3872"/>
      <c r="M45" s="3872"/>
      <c r="N45" s="3873"/>
      <c r="O45" s="3858">
        <f t="shared" si="7"/>
        <v>0.56012571428571434</v>
      </c>
    </row>
    <row r="46" spans="1:16" ht="12.75">
      <c r="A46" s="5376"/>
      <c r="B46" s="5420"/>
      <c r="C46" s="5423"/>
      <c r="D46" s="3870" t="s">
        <v>312</v>
      </c>
      <c r="E46" s="3871">
        <v>5230</v>
      </c>
      <c r="F46" s="3871">
        <v>9230</v>
      </c>
      <c r="G46" s="3867">
        <f>H46+N46</f>
        <v>7734.3</v>
      </c>
      <c r="H46" s="3867">
        <f>I46+L46+M46</f>
        <v>7734.3</v>
      </c>
      <c r="I46" s="3867">
        <f>J46+K46</f>
        <v>7734.3</v>
      </c>
      <c r="J46" s="3867"/>
      <c r="K46" s="3867">
        <v>7734.3</v>
      </c>
      <c r="L46" s="3872"/>
      <c r="M46" s="3872"/>
      <c r="N46" s="3873"/>
      <c r="O46" s="3858">
        <f t="shared" si="7"/>
        <v>0.83795232936078012</v>
      </c>
    </row>
    <row r="47" spans="1:16" ht="29.25" customHeight="1">
      <c r="A47" s="5376"/>
      <c r="B47" s="5418" t="s">
        <v>402</v>
      </c>
      <c r="C47" s="5421" t="s">
        <v>141</v>
      </c>
      <c r="D47" s="3848" t="s">
        <v>454</v>
      </c>
      <c r="E47" s="3861">
        <f>SUM(E48:E58)</f>
        <v>254000</v>
      </c>
      <c r="F47" s="3861">
        <f>SUM(F48:F58)</f>
        <v>264198</v>
      </c>
      <c r="G47" s="3862">
        <f>SUM(H47,N47)</f>
        <v>264195.63</v>
      </c>
      <c r="H47" s="3862">
        <f>SUM(I47,L47,M47)</f>
        <v>264195.63</v>
      </c>
      <c r="I47" s="3862">
        <f>SUM(J47:K47)</f>
        <v>256952.93</v>
      </c>
      <c r="J47" s="3862">
        <f>SUM(J48:J58)</f>
        <v>222637</v>
      </c>
      <c r="K47" s="3862">
        <f>SUM(K48:K58)</f>
        <v>34315.93</v>
      </c>
      <c r="L47" s="3862">
        <v>0</v>
      </c>
      <c r="M47" s="3862">
        <f>SUM(M48:M58)</f>
        <v>7242.7</v>
      </c>
      <c r="N47" s="3863">
        <f>SUM(N49:N58)</f>
        <v>0</v>
      </c>
      <c r="O47" s="3852">
        <f t="shared" si="7"/>
        <v>0.99999102945518137</v>
      </c>
      <c r="P47" s="77"/>
    </row>
    <row r="48" spans="1:16" ht="12.75">
      <c r="A48" s="5376"/>
      <c r="B48" s="5419"/>
      <c r="C48" s="5422"/>
      <c r="D48" s="3865" t="s">
        <v>320</v>
      </c>
      <c r="E48" s="3866">
        <v>7000</v>
      </c>
      <c r="F48" s="3866">
        <v>7243</v>
      </c>
      <c r="G48" s="3867">
        <f>H48+N48</f>
        <v>7242.7</v>
      </c>
      <c r="H48" s="3867">
        <f>I48+L48+M48</f>
        <v>7242.7</v>
      </c>
      <c r="I48" s="3867"/>
      <c r="J48" s="3862"/>
      <c r="K48" s="3862"/>
      <c r="L48" s="3862"/>
      <c r="M48" s="3867">
        <v>7242.7</v>
      </c>
      <c r="N48" s="3863"/>
      <c r="O48" s="3858">
        <f t="shared" si="7"/>
        <v>0.99995858069860555</v>
      </c>
      <c r="P48" s="77"/>
    </row>
    <row r="49" spans="1:16" ht="12.75">
      <c r="A49" s="5376"/>
      <c r="B49" s="5419"/>
      <c r="C49" s="5422"/>
      <c r="D49" s="3870" t="s">
        <v>337</v>
      </c>
      <c r="E49" s="3871">
        <v>148780</v>
      </c>
      <c r="F49" s="3871">
        <v>186411</v>
      </c>
      <c r="G49" s="3867">
        <f>H49+N49</f>
        <v>186411</v>
      </c>
      <c r="H49" s="3867">
        <f>I49+L49+M49</f>
        <v>186411</v>
      </c>
      <c r="I49" s="3867">
        <f>J49+K49</f>
        <v>186411</v>
      </c>
      <c r="J49" s="3867">
        <v>186411</v>
      </c>
      <c r="K49" s="3872"/>
      <c r="L49" s="3872"/>
      <c r="M49" s="3872"/>
      <c r="N49" s="3873"/>
      <c r="O49" s="3858">
        <f t="shared" si="7"/>
        <v>1</v>
      </c>
    </row>
    <row r="50" spans="1:16" ht="12.75">
      <c r="A50" s="5376"/>
      <c r="B50" s="5419"/>
      <c r="C50" s="5422"/>
      <c r="D50" s="3870" t="s">
        <v>315</v>
      </c>
      <c r="E50" s="3871">
        <v>25575</v>
      </c>
      <c r="F50" s="3871">
        <v>31707</v>
      </c>
      <c r="G50" s="3867">
        <f>H50+N50</f>
        <v>31706.82</v>
      </c>
      <c r="H50" s="3867">
        <f>I50+L50+M50</f>
        <v>31706.82</v>
      </c>
      <c r="I50" s="3867">
        <f>J50+K50</f>
        <v>31706.82</v>
      </c>
      <c r="J50" s="3867">
        <v>31706.82</v>
      </c>
      <c r="K50" s="3872"/>
      <c r="L50" s="3872"/>
      <c r="M50" s="3872"/>
      <c r="N50" s="3873"/>
      <c r="O50" s="3858">
        <f t="shared" si="7"/>
        <v>0.99999432302015323</v>
      </c>
    </row>
    <row r="51" spans="1:16" ht="12.75">
      <c r="A51" s="5376"/>
      <c r="B51" s="5419"/>
      <c r="C51" s="5422"/>
      <c r="D51" s="3870" t="s">
        <v>314</v>
      </c>
      <c r="E51" s="3871">
        <v>3645</v>
      </c>
      <c r="F51" s="3871">
        <v>4520</v>
      </c>
      <c r="G51" s="3867">
        <f>H51+N51</f>
        <v>4519.18</v>
      </c>
      <c r="H51" s="3867">
        <f>I51+L51+M51</f>
        <v>4519.18</v>
      </c>
      <c r="I51" s="3867">
        <f>J51+K51</f>
        <v>4519.18</v>
      </c>
      <c r="J51" s="3867">
        <v>4519.18</v>
      </c>
      <c r="K51" s="3872"/>
      <c r="L51" s="3872"/>
      <c r="M51" s="3872"/>
      <c r="N51" s="3873"/>
      <c r="O51" s="3858">
        <f t="shared" si="7"/>
        <v>0.99981858407079649</v>
      </c>
    </row>
    <row r="52" spans="1:16" ht="12.75">
      <c r="A52" s="5376"/>
      <c r="B52" s="5419"/>
      <c r="C52" s="5422"/>
      <c r="D52" s="3870" t="s">
        <v>319</v>
      </c>
      <c r="E52" s="3871">
        <v>2000</v>
      </c>
      <c r="F52" s="3871">
        <v>0</v>
      </c>
      <c r="G52" s="3867">
        <v>0</v>
      </c>
      <c r="H52" s="3867"/>
      <c r="I52" s="3867"/>
      <c r="J52" s="3867"/>
      <c r="K52" s="3872"/>
      <c r="L52" s="3872"/>
      <c r="M52" s="3872"/>
      <c r="N52" s="3873"/>
      <c r="O52" s="3858"/>
    </row>
    <row r="53" spans="1:16" ht="12.75">
      <c r="A53" s="5376"/>
      <c r="B53" s="5419"/>
      <c r="C53" s="5422"/>
      <c r="D53" s="3870" t="s">
        <v>313</v>
      </c>
      <c r="E53" s="3871">
        <v>30000</v>
      </c>
      <c r="F53" s="3871">
        <v>25612</v>
      </c>
      <c r="G53" s="3867">
        <f>H53+N53</f>
        <v>25611.63</v>
      </c>
      <c r="H53" s="3867">
        <f>I53+L53+M53</f>
        <v>25611.63</v>
      </c>
      <c r="I53" s="3867">
        <f>J53+K53</f>
        <v>25611.63</v>
      </c>
      <c r="J53" s="3867"/>
      <c r="K53" s="3867">
        <v>25611.63</v>
      </c>
      <c r="L53" s="3872"/>
      <c r="M53" s="3872"/>
      <c r="N53" s="3873"/>
      <c r="O53" s="3858">
        <f>SUM(G53/F53)</f>
        <v>0.99998555364672814</v>
      </c>
    </row>
    <row r="54" spans="1:16" ht="12.75">
      <c r="A54" s="5376"/>
      <c r="B54" s="5419"/>
      <c r="C54" s="5422"/>
      <c r="D54" s="3870" t="s">
        <v>333</v>
      </c>
      <c r="E54" s="3871">
        <v>1000</v>
      </c>
      <c r="F54" s="3871">
        <v>1000</v>
      </c>
      <c r="G54" s="3867">
        <f>H54+N54</f>
        <v>999.3</v>
      </c>
      <c r="H54" s="3867">
        <f>I54+L54+M54</f>
        <v>999.3</v>
      </c>
      <c r="I54" s="3867">
        <f>J54+K54</f>
        <v>999.3</v>
      </c>
      <c r="J54" s="3867"/>
      <c r="K54" s="3867">
        <v>999.3</v>
      </c>
      <c r="L54" s="3872"/>
      <c r="M54" s="3872"/>
      <c r="N54" s="3873"/>
      <c r="O54" s="3858">
        <f>SUM(G54/F54)</f>
        <v>0.99929999999999997</v>
      </c>
    </row>
    <row r="55" spans="1:16" ht="12.75">
      <c r="A55" s="5376"/>
      <c r="B55" s="5419"/>
      <c r="C55" s="5422"/>
      <c r="D55" s="3870" t="s">
        <v>312</v>
      </c>
      <c r="E55" s="3871">
        <v>30000</v>
      </c>
      <c r="F55" s="3871">
        <v>7705</v>
      </c>
      <c r="G55" s="3867">
        <f>H55+N55</f>
        <v>7705</v>
      </c>
      <c r="H55" s="3867">
        <f>I55+L55+M55</f>
        <v>7705</v>
      </c>
      <c r="I55" s="3867">
        <f>J55+K55</f>
        <v>7705</v>
      </c>
      <c r="J55" s="3867"/>
      <c r="K55" s="3867">
        <v>7705</v>
      </c>
      <c r="L55" s="3872"/>
      <c r="M55" s="3872"/>
      <c r="N55" s="3873"/>
      <c r="O55" s="3858">
        <f>SUM(G55/F55)</f>
        <v>1</v>
      </c>
    </row>
    <row r="56" spans="1:16" ht="12.75">
      <c r="A56" s="5376"/>
      <c r="B56" s="5419"/>
      <c r="C56" s="5422"/>
      <c r="D56" s="3870" t="s">
        <v>327</v>
      </c>
      <c r="E56" s="3871">
        <v>2000</v>
      </c>
      <c r="F56" s="3871">
        <v>0</v>
      </c>
      <c r="G56" s="3867">
        <v>0</v>
      </c>
      <c r="H56" s="3867"/>
      <c r="I56" s="3867"/>
      <c r="J56" s="3867"/>
      <c r="K56" s="3867"/>
      <c r="L56" s="3872"/>
      <c r="M56" s="3872"/>
      <c r="N56" s="3873"/>
      <c r="O56" s="3858"/>
    </row>
    <row r="57" spans="1:16" ht="12.75">
      <c r="A57" s="5376"/>
      <c r="B57" s="5419"/>
      <c r="C57" s="5422"/>
      <c r="D57" s="3870" t="s">
        <v>326</v>
      </c>
      <c r="E57" s="3871">
        <v>2000</v>
      </c>
      <c r="F57" s="3871">
        <v>0</v>
      </c>
      <c r="G57" s="3867">
        <v>0</v>
      </c>
      <c r="H57" s="3867"/>
      <c r="I57" s="3867"/>
      <c r="J57" s="3867"/>
      <c r="K57" s="3867"/>
      <c r="L57" s="3872"/>
      <c r="M57" s="3872"/>
      <c r="N57" s="3873"/>
      <c r="O57" s="3858"/>
    </row>
    <row r="58" spans="1:16" ht="12.6" customHeight="1">
      <c r="A58" s="5416"/>
      <c r="B58" s="5419"/>
      <c r="C58" s="5422"/>
      <c r="D58" s="3894" t="s">
        <v>322</v>
      </c>
      <c r="E58" s="3895">
        <v>2000</v>
      </c>
      <c r="F58" s="3895">
        <v>0</v>
      </c>
      <c r="G58" s="3880">
        <f>H58+N58</f>
        <v>0</v>
      </c>
      <c r="H58" s="3880"/>
      <c r="I58" s="3880"/>
      <c r="J58" s="3896"/>
      <c r="K58" s="3880"/>
      <c r="L58" s="3896"/>
      <c r="M58" s="3896"/>
      <c r="N58" s="3897"/>
      <c r="O58" s="3898" t="e">
        <f>SUM(G58/F58)</f>
        <v>#DIV/0!</v>
      </c>
    </row>
    <row r="59" spans="1:16" s="78" customFormat="1" ht="26.25" customHeight="1">
      <c r="A59" s="5424" t="s">
        <v>393</v>
      </c>
      <c r="B59" s="5427" t="s">
        <v>194</v>
      </c>
      <c r="C59" s="5427"/>
      <c r="D59" s="3874"/>
      <c r="E59" s="3875">
        <f>SUM(E60)</f>
        <v>0</v>
      </c>
      <c r="F59" s="3875">
        <f>SUM(F60)</f>
        <v>14236</v>
      </c>
      <c r="G59" s="3876">
        <f>SUM(G60)</f>
        <v>13842.55</v>
      </c>
      <c r="H59" s="3876">
        <f>SUM(H60)</f>
        <v>13842.55</v>
      </c>
      <c r="I59" s="3876">
        <f>SUM(I60)</f>
        <v>13842.55</v>
      </c>
      <c r="J59" s="3876">
        <v>0</v>
      </c>
      <c r="K59" s="3876">
        <f>SUM(K60)</f>
        <v>13842.55</v>
      </c>
      <c r="L59" s="3876">
        <v>0</v>
      </c>
      <c r="M59" s="3876">
        <v>0</v>
      </c>
      <c r="N59" s="3876">
        <v>0</v>
      </c>
      <c r="O59" s="3877">
        <f>G59/F59</f>
        <v>0.97236232087665064</v>
      </c>
    </row>
    <row r="60" spans="1:16" ht="33.75" customHeight="1">
      <c r="A60" s="5376"/>
      <c r="B60" s="5418" t="s">
        <v>392</v>
      </c>
      <c r="C60" s="5421" t="s">
        <v>207</v>
      </c>
      <c r="D60" s="3848" t="s">
        <v>454</v>
      </c>
      <c r="E60" s="3861">
        <f>SUM(E61:E62)</f>
        <v>0</v>
      </c>
      <c r="F60" s="3861">
        <f>SUM(F61:F62)</f>
        <v>14236</v>
      </c>
      <c r="G60" s="3862">
        <f>SUM(H60,N60)</f>
        <v>13842.55</v>
      </c>
      <c r="H60" s="3862">
        <f>SUM(I60,L60,M60)</f>
        <v>13842.55</v>
      </c>
      <c r="I60" s="3862">
        <f>SUM(J60:K60)</f>
        <v>13842.55</v>
      </c>
      <c r="J60" s="3862">
        <v>0</v>
      </c>
      <c r="K60" s="3862">
        <f>SUM(K61:K62)</f>
        <v>13842.55</v>
      </c>
      <c r="L60" s="3862">
        <v>0</v>
      </c>
      <c r="M60" s="3862">
        <v>0</v>
      </c>
      <c r="N60" s="3863">
        <v>0</v>
      </c>
      <c r="O60" s="3852">
        <f>SUM(G60/F60)</f>
        <v>0.97236232087665064</v>
      </c>
      <c r="P60" s="77"/>
    </row>
    <row r="61" spans="1:16" ht="19.5" customHeight="1">
      <c r="A61" s="5376"/>
      <c r="B61" s="5419"/>
      <c r="C61" s="5422"/>
      <c r="D61" s="3870" t="s">
        <v>332</v>
      </c>
      <c r="E61" s="3871">
        <v>0</v>
      </c>
      <c r="F61" s="3871">
        <v>14095</v>
      </c>
      <c r="G61" s="3867">
        <f>H61+N61</f>
        <v>13842.55</v>
      </c>
      <c r="H61" s="3867">
        <f>I61+L61+M61</f>
        <v>13842.55</v>
      </c>
      <c r="I61" s="3867">
        <f>J61+K61</f>
        <v>13842.55</v>
      </c>
      <c r="J61" s="3867"/>
      <c r="K61" s="3867">
        <v>13842.55</v>
      </c>
      <c r="L61" s="3872"/>
      <c r="M61" s="3872"/>
      <c r="N61" s="3873"/>
      <c r="O61" s="3858">
        <f>SUM(G61/F61)</f>
        <v>0.98208939340191548</v>
      </c>
    </row>
    <row r="62" spans="1:16" ht="19.5" customHeight="1">
      <c r="A62" s="5416"/>
      <c r="B62" s="5420"/>
      <c r="C62" s="5423"/>
      <c r="D62" s="3870" t="s">
        <v>312</v>
      </c>
      <c r="E62" s="3871">
        <v>0</v>
      </c>
      <c r="F62" s="3871">
        <v>141</v>
      </c>
      <c r="G62" s="3867">
        <v>0</v>
      </c>
      <c r="H62" s="3867"/>
      <c r="I62" s="3867"/>
      <c r="J62" s="3867"/>
      <c r="K62" s="3867"/>
      <c r="L62" s="3872"/>
      <c r="M62" s="3872"/>
      <c r="N62" s="3873"/>
      <c r="O62" s="3858"/>
    </row>
    <row r="63" spans="1:16" ht="27.75" customHeight="1">
      <c r="A63" s="5424" t="s">
        <v>390</v>
      </c>
      <c r="B63" s="5427" t="s">
        <v>213</v>
      </c>
      <c r="C63" s="5427"/>
      <c r="D63" s="3874"/>
      <c r="E63" s="3875">
        <f t="shared" ref="E63:K63" si="8">E72+E64+E66</f>
        <v>18684000</v>
      </c>
      <c r="F63" s="3875">
        <f t="shared" si="8"/>
        <v>39125040</v>
      </c>
      <c r="G63" s="3875">
        <f t="shared" si="8"/>
        <v>30806376.66</v>
      </c>
      <c r="H63" s="3875">
        <f t="shared" si="8"/>
        <v>29463388.009999998</v>
      </c>
      <c r="I63" s="3876">
        <f t="shared" si="8"/>
        <v>29463388.009999998</v>
      </c>
      <c r="J63" s="3876">
        <f t="shared" si="8"/>
        <v>100701</v>
      </c>
      <c r="K63" s="3876">
        <f t="shared" si="8"/>
        <v>29362687.009999998</v>
      </c>
      <c r="L63" s="3876">
        <f t="shared" ref="L63:N63" si="9">L72+L64+L66</f>
        <v>0</v>
      </c>
      <c r="M63" s="3876">
        <f t="shared" si="9"/>
        <v>0</v>
      </c>
      <c r="N63" s="3876">
        <f t="shared" si="9"/>
        <v>1342988.65</v>
      </c>
      <c r="O63" s="3877">
        <f t="shared" ref="O63:O88" si="10">G63/F63</f>
        <v>0.7873826240177646</v>
      </c>
    </row>
    <row r="64" spans="1:16" ht="21.75" customHeight="1">
      <c r="A64" s="5376"/>
      <c r="B64" s="5418" t="s">
        <v>388</v>
      </c>
      <c r="C64" s="5421" t="s">
        <v>217</v>
      </c>
      <c r="D64" s="3848" t="s">
        <v>454</v>
      </c>
      <c r="E64" s="3861">
        <f>SUM(E65)</f>
        <v>150000</v>
      </c>
      <c r="F64" s="3861">
        <f>SUM(F65)</f>
        <v>1350000</v>
      </c>
      <c r="G64" s="3862">
        <f>SUM(H64,N64)</f>
        <v>1342988.65</v>
      </c>
      <c r="H64" s="3862">
        <v>0</v>
      </c>
      <c r="I64" s="3862">
        <v>0</v>
      </c>
      <c r="J64" s="3862">
        <v>0</v>
      </c>
      <c r="K64" s="3862">
        <v>0</v>
      </c>
      <c r="L64" s="3862">
        <v>0</v>
      </c>
      <c r="M64" s="3862">
        <v>0</v>
      </c>
      <c r="N64" s="3863">
        <f>SUM(N65)</f>
        <v>1342988.65</v>
      </c>
      <c r="O64" s="3852">
        <f t="shared" si="10"/>
        <v>0.99480640740740733</v>
      </c>
      <c r="P64" s="77"/>
    </row>
    <row r="65" spans="1:16" ht="12.75">
      <c r="A65" s="5416"/>
      <c r="B65" s="5420"/>
      <c r="C65" s="5423"/>
      <c r="D65" s="3870" t="s">
        <v>338</v>
      </c>
      <c r="E65" s="3871">
        <v>150000</v>
      </c>
      <c r="F65" s="3871">
        <v>1350000</v>
      </c>
      <c r="G65" s="3867">
        <f>H65+N65</f>
        <v>1342988.65</v>
      </c>
      <c r="H65" s="3867"/>
      <c r="I65" s="3867"/>
      <c r="J65" s="3867"/>
      <c r="K65" s="3867"/>
      <c r="L65" s="3872"/>
      <c r="M65" s="3872"/>
      <c r="N65" s="3868">
        <v>1342988.65</v>
      </c>
      <c r="O65" s="3858">
        <f t="shared" si="10"/>
        <v>0.99480640740740733</v>
      </c>
    </row>
    <row r="66" spans="1:16" ht="22.5" customHeight="1">
      <c r="A66" s="5376" t="s">
        <v>390</v>
      </c>
      <c r="B66" s="5419" t="s">
        <v>384</v>
      </c>
      <c r="C66" s="5422" t="s">
        <v>383</v>
      </c>
      <c r="D66" s="3899" t="s">
        <v>454</v>
      </c>
      <c r="E66" s="3849">
        <f>SUM(E67:E71)</f>
        <v>18504000</v>
      </c>
      <c r="F66" s="3849">
        <f>SUM(F67:F71)</f>
        <v>37709240</v>
      </c>
      <c r="G66" s="3850">
        <f>SUM(H66,N66)</f>
        <v>29401720.629999999</v>
      </c>
      <c r="H66" s="3850">
        <f>SUM(I66,L66,M66)</f>
        <v>29401720.629999999</v>
      </c>
      <c r="I66" s="3850">
        <f>SUM(J66:K66)</f>
        <v>29401720.629999999</v>
      </c>
      <c r="J66" s="3850">
        <f>SUM(J67:J71)</f>
        <v>59901</v>
      </c>
      <c r="K66" s="3850">
        <f>SUM(K67:K71)</f>
        <v>29341819.629999999</v>
      </c>
      <c r="L66" s="3850">
        <f>SUM(L67:L70)</f>
        <v>0</v>
      </c>
      <c r="M66" s="3850">
        <v>0</v>
      </c>
      <c r="N66" s="3851">
        <f>SUM(N67:N70)</f>
        <v>0</v>
      </c>
      <c r="O66" s="3893">
        <f t="shared" si="10"/>
        <v>0.77969539110308239</v>
      </c>
    </row>
    <row r="67" spans="1:16" ht="12.75">
      <c r="A67" s="5376"/>
      <c r="B67" s="5419"/>
      <c r="C67" s="5422"/>
      <c r="D67" s="3860" t="s">
        <v>337</v>
      </c>
      <c r="E67" s="3854">
        <v>0</v>
      </c>
      <c r="F67" s="3854">
        <v>49981</v>
      </c>
      <c r="G67" s="3855">
        <f>H67+N67</f>
        <v>49981</v>
      </c>
      <c r="H67" s="3855">
        <f>I67+L67+M67</f>
        <v>49981</v>
      </c>
      <c r="I67" s="3855">
        <f>J67+K67</f>
        <v>49981</v>
      </c>
      <c r="J67" s="3855">
        <v>49981</v>
      </c>
      <c r="K67" s="3855"/>
      <c r="L67" s="3855"/>
      <c r="M67" s="3855"/>
      <c r="N67" s="3900"/>
      <c r="O67" s="3858">
        <f t="shared" si="10"/>
        <v>1</v>
      </c>
    </row>
    <row r="68" spans="1:16" ht="12.75">
      <c r="A68" s="5376"/>
      <c r="B68" s="5419"/>
      <c r="C68" s="5422"/>
      <c r="D68" s="3860" t="s">
        <v>315</v>
      </c>
      <c r="E68" s="3854">
        <v>0</v>
      </c>
      <c r="F68" s="3854">
        <v>8592</v>
      </c>
      <c r="G68" s="3855">
        <f>H68+N68</f>
        <v>8592</v>
      </c>
      <c r="H68" s="3855">
        <f>I68+L68+M68</f>
        <v>8592</v>
      </c>
      <c r="I68" s="3855">
        <f>J68+K68</f>
        <v>8592</v>
      </c>
      <c r="J68" s="3855">
        <v>8592</v>
      </c>
      <c r="K68" s="3855"/>
      <c r="L68" s="3855"/>
      <c r="M68" s="3855"/>
      <c r="N68" s="3900"/>
      <c r="O68" s="3858">
        <f t="shared" si="10"/>
        <v>1</v>
      </c>
    </row>
    <row r="69" spans="1:16" ht="12.75">
      <c r="A69" s="5376"/>
      <c r="B69" s="5419"/>
      <c r="C69" s="5422"/>
      <c r="D69" s="3860" t="s">
        <v>314</v>
      </c>
      <c r="E69" s="3854">
        <v>0</v>
      </c>
      <c r="F69" s="3854">
        <v>1022</v>
      </c>
      <c r="G69" s="3855">
        <f>H69+N69</f>
        <v>1022</v>
      </c>
      <c r="H69" s="3855">
        <f>I69+L69+M69</f>
        <v>1022</v>
      </c>
      <c r="I69" s="3855">
        <f>J69+K69</f>
        <v>1022</v>
      </c>
      <c r="J69" s="3855">
        <v>1022</v>
      </c>
      <c r="K69" s="3855"/>
      <c r="L69" s="3855"/>
      <c r="M69" s="3855"/>
      <c r="N69" s="3900"/>
      <c r="O69" s="3858">
        <f t="shared" si="10"/>
        <v>1</v>
      </c>
    </row>
    <row r="70" spans="1:16" ht="12.75">
      <c r="A70" s="5376"/>
      <c r="B70" s="5419"/>
      <c r="C70" s="5422"/>
      <c r="D70" s="3860" t="s">
        <v>382</v>
      </c>
      <c r="E70" s="3854">
        <v>18504000</v>
      </c>
      <c r="F70" s="3854">
        <v>37649339</v>
      </c>
      <c r="G70" s="3855">
        <f>H70+N70</f>
        <v>29341819.629999999</v>
      </c>
      <c r="H70" s="3855">
        <f>I70+L70+M70</f>
        <v>29341819.629999999</v>
      </c>
      <c r="I70" s="3855">
        <f>J70+K70</f>
        <v>29341819.629999999</v>
      </c>
      <c r="J70" s="3855"/>
      <c r="K70" s="3855">
        <v>29341819.629999999</v>
      </c>
      <c r="L70" s="3855"/>
      <c r="M70" s="3855"/>
      <c r="N70" s="3900"/>
      <c r="O70" s="3858">
        <f t="shared" si="10"/>
        <v>0.77934488119432854</v>
      </c>
    </row>
    <row r="71" spans="1:16" ht="12.75">
      <c r="A71" s="5376"/>
      <c r="B71" s="5420"/>
      <c r="C71" s="5423"/>
      <c r="D71" s="3860" t="s">
        <v>335</v>
      </c>
      <c r="E71" s="3854">
        <v>0</v>
      </c>
      <c r="F71" s="3854">
        <v>306</v>
      </c>
      <c r="G71" s="3855">
        <f>H71+N71</f>
        <v>306</v>
      </c>
      <c r="H71" s="3855">
        <f>I71+L71+M71</f>
        <v>306</v>
      </c>
      <c r="I71" s="3855">
        <f>J71+K71</f>
        <v>306</v>
      </c>
      <c r="J71" s="3855">
        <v>306</v>
      </c>
      <c r="K71" s="3855"/>
      <c r="L71" s="3855"/>
      <c r="M71" s="3855"/>
      <c r="N71" s="3900"/>
      <c r="O71" s="3858">
        <f t="shared" si="10"/>
        <v>1</v>
      </c>
    </row>
    <row r="72" spans="1:16" ht="22.5" customHeight="1">
      <c r="A72" s="5376"/>
      <c r="B72" s="5418" t="s">
        <v>381</v>
      </c>
      <c r="C72" s="5421" t="s">
        <v>44</v>
      </c>
      <c r="D72" s="3899" t="s">
        <v>454</v>
      </c>
      <c r="E72" s="3849">
        <f>SUM(E73:E74)</f>
        <v>30000</v>
      </c>
      <c r="F72" s="3849">
        <f>SUM(F73:F74)</f>
        <v>65800</v>
      </c>
      <c r="G72" s="3850">
        <f>SUM(H72,N72)</f>
        <v>61667.380000000005</v>
      </c>
      <c r="H72" s="3850">
        <f>SUM(I72,L72,M72)</f>
        <v>61667.380000000005</v>
      </c>
      <c r="I72" s="3850">
        <f>SUM(J72:K72)</f>
        <v>61667.380000000005</v>
      </c>
      <c r="J72" s="3850">
        <f>SUM(J73:J74)</f>
        <v>40800</v>
      </c>
      <c r="K72" s="3850">
        <f>SUM(K73:K74)</f>
        <v>20867.38</v>
      </c>
      <c r="L72" s="3850">
        <v>0</v>
      </c>
      <c r="M72" s="3850">
        <v>0</v>
      </c>
      <c r="N72" s="3851">
        <v>0</v>
      </c>
      <c r="O72" s="3852">
        <f t="shared" si="10"/>
        <v>0.93719422492401228</v>
      </c>
    </row>
    <row r="73" spans="1:16" ht="12.75">
      <c r="A73" s="5376"/>
      <c r="B73" s="5419"/>
      <c r="C73" s="5422"/>
      <c r="D73" s="3860" t="s">
        <v>319</v>
      </c>
      <c r="E73" s="3854">
        <v>27200</v>
      </c>
      <c r="F73" s="3854">
        <v>40800</v>
      </c>
      <c r="G73" s="3855">
        <f>H73+N73</f>
        <v>40800</v>
      </c>
      <c r="H73" s="3855">
        <f>I73+L73+M73</f>
        <v>40800</v>
      </c>
      <c r="I73" s="3855">
        <f>J73+K73</f>
        <v>40800</v>
      </c>
      <c r="J73" s="3855">
        <v>40800</v>
      </c>
      <c r="K73" s="3855"/>
      <c r="L73" s="3856"/>
      <c r="M73" s="3856"/>
      <c r="N73" s="3857"/>
      <c r="O73" s="3858">
        <f t="shared" si="10"/>
        <v>1</v>
      </c>
    </row>
    <row r="74" spans="1:16" ht="12.75">
      <c r="A74" s="5416"/>
      <c r="B74" s="5420"/>
      <c r="C74" s="5423"/>
      <c r="D74" s="3860" t="s">
        <v>312</v>
      </c>
      <c r="E74" s="3854">
        <v>2800</v>
      </c>
      <c r="F74" s="3854">
        <v>25000</v>
      </c>
      <c r="G74" s="3855">
        <f>H74+N74</f>
        <v>20867.38</v>
      </c>
      <c r="H74" s="3855">
        <f>I74+L74+M74</f>
        <v>20867.38</v>
      </c>
      <c r="I74" s="3855">
        <f>J74+K74</f>
        <v>20867.38</v>
      </c>
      <c r="J74" s="3855"/>
      <c r="K74" s="3855">
        <v>20867.38</v>
      </c>
      <c r="L74" s="3856"/>
      <c r="M74" s="3856"/>
      <c r="N74" s="3857"/>
      <c r="O74" s="3858">
        <f t="shared" si="10"/>
        <v>0.83469520000000008</v>
      </c>
    </row>
    <row r="75" spans="1:16" ht="29.25" customHeight="1">
      <c r="A75" s="5424" t="s">
        <v>376</v>
      </c>
      <c r="B75" s="5432" t="s">
        <v>236</v>
      </c>
      <c r="C75" s="5433"/>
      <c r="D75" s="3874"/>
      <c r="E75" s="3875">
        <f>SUM(E76)</f>
        <v>1000</v>
      </c>
      <c r="F75" s="3875">
        <f>F76</f>
        <v>4140</v>
      </c>
      <c r="G75" s="3876">
        <f t="shared" ref="G75:M75" si="11">SUM(G76)</f>
        <v>2640</v>
      </c>
      <c r="H75" s="3876">
        <f t="shared" si="11"/>
        <v>2640</v>
      </c>
      <c r="I75" s="3876">
        <f t="shared" si="11"/>
        <v>2640</v>
      </c>
      <c r="J75" s="3876">
        <f t="shared" si="11"/>
        <v>2640</v>
      </c>
      <c r="K75" s="3876">
        <f t="shared" si="11"/>
        <v>0</v>
      </c>
      <c r="L75" s="3876">
        <f t="shared" si="11"/>
        <v>0</v>
      </c>
      <c r="M75" s="3876">
        <f t="shared" si="11"/>
        <v>0</v>
      </c>
      <c r="N75" s="3901">
        <v>0</v>
      </c>
      <c r="O75" s="3877">
        <f t="shared" si="10"/>
        <v>0.6376811594202898</v>
      </c>
    </row>
    <row r="76" spans="1:16" ht="28.5" customHeight="1">
      <c r="A76" s="5376"/>
      <c r="B76" s="5418" t="s">
        <v>373</v>
      </c>
      <c r="C76" s="5421" t="s">
        <v>372</v>
      </c>
      <c r="D76" s="3848" t="s">
        <v>454</v>
      </c>
      <c r="E76" s="3861">
        <f t="shared" ref="E76:M76" si="12">SUM(E77:E79)</f>
        <v>1000</v>
      </c>
      <c r="F76" s="3861">
        <f t="shared" si="12"/>
        <v>4140</v>
      </c>
      <c r="G76" s="3862">
        <f t="shared" si="12"/>
        <v>2640</v>
      </c>
      <c r="H76" s="3862">
        <f t="shared" si="12"/>
        <v>2640</v>
      </c>
      <c r="I76" s="3862">
        <f t="shared" si="12"/>
        <v>2640</v>
      </c>
      <c r="J76" s="3862">
        <f t="shared" si="12"/>
        <v>2640</v>
      </c>
      <c r="K76" s="3862">
        <f t="shared" si="12"/>
        <v>0</v>
      </c>
      <c r="L76" s="3862">
        <f t="shared" si="12"/>
        <v>0</v>
      </c>
      <c r="M76" s="3862">
        <f t="shared" si="12"/>
        <v>0</v>
      </c>
      <c r="N76" s="3863">
        <v>0</v>
      </c>
      <c r="O76" s="3864">
        <f t="shared" si="10"/>
        <v>0.6376811594202898</v>
      </c>
      <c r="P76" s="77"/>
    </row>
    <row r="77" spans="1:16" ht="12.75">
      <c r="A77" s="5376"/>
      <c r="B77" s="5419"/>
      <c r="C77" s="5422"/>
      <c r="D77" s="3870" t="s">
        <v>320</v>
      </c>
      <c r="E77" s="3871">
        <v>380</v>
      </c>
      <c r="F77" s="3871">
        <v>0</v>
      </c>
      <c r="G77" s="3867">
        <f>H77+N77</f>
        <v>0</v>
      </c>
      <c r="H77" s="3867">
        <f>I77+L77+M77</f>
        <v>0</v>
      </c>
      <c r="I77" s="3867">
        <f>J77+K77</f>
        <v>0</v>
      </c>
      <c r="J77" s="3867"/>
      <c r="K77" s="3867"/>
      <c r="L77" s="3867"/>
      <c r="M77" s="3867"/>
      <c r="N77" s="3873"/>
      <c r="O77" s="3869"/>
    </row>
    <row r="78" spans="1:16" ht="12.75">
      <c r="A78" s="5376"/>
      <c r="B78" s="5419"/>
      <c r="C78" s="5422"/>
      <c r="D78" s="3870" t="s">
        <v>319</v>
      </c>
      <c r="E78" s="3871">
        <v>620</v>
      </c>
      <c r="F78" s="3871">
        <v>4140</v>
      </c>
      <c r="G78" s="3867">
        <f t="shared" ref="G78:G79" si="13">H78+N78</f>
        <v>2640</v>
      </c>
      <c r="H78" s="3867">
        <f t="shared" ref="H78:H79" si="14">I78+L78+M78</f>
        <v>2640</v>
      </c>
      <c r="I78" s="3867">
        <f t="shared" ref="I78:I79" si="15">J78+K78</f>
        <v>2640</v>
      </c>
      <c r="J78" s="3867">
        <v>2640</v>
      </c>
      <c r="K78" s="3872"/>
      <c r="L78" s="3872"/>
      <c r="M78" s="3872"/>
      <c r="N78" s="3873"/>
      <c r="O78" s="3869">
        <f t="shared" si="10"/>
        <v>0.6376811594202898</v>
      </c>
    </row>
    <row r="79" spans="1:16" ht="12.75">
      <c r="A79" s="5376"/>
      <c r="B79" s="5419"/>
      <c r="C79" s="5422"/>
      <c r="D79" s="3894" t="s">
        <v>313</v>
      </c>
      <c r="E79" s="3895">
        <v>0</v>
      </c>
      <c r="F79" s="3895">
        <v>0</v>
      </c>
      <c r="G79" s="3867">
        <f t="shared" si="13"/>
        <v>0</v>
      </c>
      <c r="H79" s="3867">
        <f t="shared" si="14"/>
        <v>0</v>
      </c>
      <c r="I79" s="3867">
        <f t="shared" si="15"/>
        <v>0</v>
      </c>
      <c r="J79" s="3896"/>
      <c r="K79" s="3896"/>
      <c r="L79" s="3896"/>
      <c r="M79" s="3896"/>
      <c r="N79" s="3897"/>
      <c r="O79" s="3869"/>
    </row>
    <row r="80" spans="1:16" ht="27" customHeight="1">
      <c r="A80" s="5424" t="s">
        <v>366</v>
      </c>
      <c r="B80" s="5427" t="s">
        <v>248</v>
      </c>
      <c r="C80" s="5427"/>
      <c r="D80" s="3874"/>
      <c r="E80" s="3875">
        <f>SUM(E81)</f>
        <v>1758000</v>
      </c>
      <c r="F80" s="3875">
        <f>SUM(F81)</f>
        <v>2565501</v>
      </c>
      <c r="G80" s="3876">
        <f>H80+N80</f>
        <v>2541499.4199999995</v>
      </c>
      <c r="H80" s="3876">
        <f>I80+L80+M80</f>
        <v>2541499.4199999995</v>
      </c>
      <c r="I80" s="3876">
        <f>J80+K80</f>
        <v>2534729.7699999996</v>
      </c>
      <c r="J80" s="3876">
        <f>SUM(J81)</f>
        <v>2109537.3499999996</v>
      </c>
      <c r="K80" s="3876">
        <f>SUM(K81)</f>
        <v>425192.42000000004</v>
      </c>
      <c r="L80" s="3876">
        <v>0</v>
      </c>
      <c r="M80" s="3876">
        <f>SUM(M81)</f>
        <v>6769.65</v>
      </c>
      <c r="N80" s="3876">
        <v>0</v>
      </c>
      <c r="O80" s="3877">
        <f t="shared" si="10"/>
        <v>0.99064448620366918</v>
      </c>
    </row>
    <row r="81" spans="1:16" ht="29.25" customHeight="1">
      <c r="A81" s="5376"/>
      <c r="B81" s="5434" t="s">
        <v>364</v>
      </c>
      <c r="C81" s="5421" t="s">
        <v>250</v>
      </c>
      <c r="D81" s="3848" t="s">
        <v>454</v>
      </c>
      <c r="E81" s="3861">
        <f>SUM(E82:E103)</f>
        <v>1758000</v>
      </c>
      <c r="F81" s="3861">
        <f>SUM(F82:F103)</f>
        <v>2565501</v>
      </c>
      <c r="G81" s="3862">
        <f>SUM(H81,N81)</f>
        <v>2541499.4199999995</v>
      </c>
      <c r="H81" s="3862">
        <f>SUM(I81,L81,M81)</f>
        <v>2541499.4199999995</v>
      </c>
      <c r="I81" s="3862">
        <f>SUM(J81:K81)</f>
        <v>2534729.7699999996</v>
      </c>
      <c r="J81" s="3862">
        <f>SUM(J82:J103)</f>
        <v>2109537.3499999996</v>
      </c>
      <c r="K81" s="3862">
        <f>SUM(K82:K103)</f>
        <v>425192.42000000004</v>
      </c>
      <c r="L81" s="3862">
        <v>0</v>
      </c>
      <c r="M81" s="3862">
        <f>SUM(M82:M103)</f>
        <v>6769.65</v>
      </c>
      <c r="N81" s="3863">
        <v>0</v>
      </c>
      <c r="O81" s="3864">
        <f t="shared" si="10"/>
        <v>0.99064448620366918</v>
      </c>
      <c r="P81" s="77"/>
    </row>
    <row r="82" spans="1:16" ht="12.75">
      <c r="A82" s="5376"/>
      <c r="B82" s="5435"/>
      <c r="C82" s="5422"/>
      <c r="D82" s="3870" t="s">
        <v>321</v>
      </c>
      <c r="E82" s="3871">
        <v>7055</v>
      </c>
      <c r="F82" s="3871">
        <v>6770</v>
      </c>
      <c r="G82" s="3867">
        <f t="shared" ref="G82:G89" si="16">H82+N82</f>
        <v>6769.65</v>
      </c>
      <c r="H82" s="3867">
        <f t="shared" ref="H82:H89" si="17">I82+L82+M82</f>
        <v>6769.65</v>
      </c>
      <c r="I82" s="3867"/>
      <c r="J82" s="3867"/>
      <c r="K82" s="3867"/>
      <c r="L82" s="3867"/>
      <c r="M82" s="3867">
        <v>6769.65</v>
      </c>
      <c r="N82" s="3873"/>
      <c r="O82" s="3869">
        <f t="shared" si="10"/>
        <v>0.99994830132939438</v>
      </c>
    </row>
    <row r="83" spans="1:16" ht="12.75">
      <c r="A83" s="5376"/>
      <c r="B83" s="5435"/>
      <c r="C83" s="5422"/>
      <c r="D83" s="3870" t="s">
        <v>337</v>
      </c>
      <c r="E83" s="3871">
        <v>1085195</v>
      </c>
      <c r="F83" s="3871">
        <v>1672234</v>
      </c>
      <c r="G83" s="3867">
        <f t="shared" si="16"/>
        <v>1670759.67</v>
      </c>
      <c r="H83" s="3867">
        <f t="shared" si="17"/>
        <v>1670759.67</v>
      </c>
      <c r="I83" s="3867">
        <f>J83+K83</f>
        <v>1670759.67</v>
      </c>
      <c r="J83" s="3867">
        <v>1670759.67</v>
      </c>
      <c r="K83" s="3867"/>
      <c r="L83" s="3867"/>
      <c r="M83" s="3867"/>
      <c r="N83" s="3873"/>
      <c r="O83" s="3869">
        <f t="shared" si="10"/>
        <v>0.99911834707343583</v>
      </c>
    </row>
    <row r="84" spans="1:16" ht="12.75">
      <c r="A84" s="5376"/>
      <c r="B84" s="5435"/>
      <c r="C84" s="5422"/>
      <c r="D84" s="3870" t="s">
        <v>336</v>
      </c>
      <c r="E84" s="3871">
        <v>111218</v>
      </c>
      <c r="F84" s="3871">
        <v>95874</v>
      </c>
      <c r="G84" s="3867">
        <f t="shared" si="16"/>
        <v>95873.84</v>
      </c>
      <c r="H84" s="3867">
        <f t="shared" si="17"/>
        <v>95873.84</v>
      </c>
      <c r="I84" s="3867">
        <f>J84+K84</f>
        <v>95873.84</v>
      </c>
      <c r="J84" s="3867">
        <v>95873.84</v>
      </c>
      <c r="K84" s="3867"/>
      <c r="L84" s="3867"/>
      <c r="M84" s="3867"/>
      <c r="N84" s="3873"/>
      <c r="O84" s="3869">
        <f t="shared" si="10"/>
        <v>0.99999833114295844</v>
      </c>
    </row>
    <row r="85" spans="1:16" ht="12.75">
      <c r="A85" s="5376"/>
      <c r="B85" s="5435"/>
      <c r="C85" s="5422"/>
      <c r="D85" s="3870" t="s">
        <v>315</v>
      </c>
      <c r="E85" s="3871">
        <v>203864</v>
      </c>
      <c r="F85" s="3871">
        <v>299669</v>
      </c>
      <c r="G85" s="3867">
        <f t="shared" si="16"/>
        <v>296569.67</v>
      </c>
      <c r="H85" s="3867">
        <f t="shared" si="17"/>
        <v>296569.67</v>
      </c>
      <c r="I85" s="3867">
        <f>J85+K85</f>
        <v>296569.67</v>
      </c>
      <c r="J85" s="3867">
        <v>296569.67</v>
      </c>
      <c r="K85" s="3867"/>
      <c r="L85" s="3867"/>
      <c r="M85" s="3867"/>
      <c r="N85" s="3873"/>
      <c r="O85" s="3869">
        <f t="shared" si="10"/>
        <v>0.9896574887626014</v>
      </c>
    </row>
    <row r="86" spans="1:16" ht="12.75">
      <c r="A86" s="5376"/>
      <c r="B86" s="5435"/>
      <c r="C86" s="5422"/>
      <c r="D86" s="3870" t="s">
        <v>314</v>
      </c>
      <c r="E86" s="3871">
        <v>28920</v>
      </c>
      <c r="F86" s="3871">
        <v>35143</v>
      </c>
      <c r="G86" s="3867">
        <f t="shared" si="16"/>
        <v>33722.79</v>
      </c>
      <c r="H86" s="3867">
        <f t="shared" si="17"/>
        <v>33722.79</v>
      </c>
      <c r="I86" s="3867">
        <f>J86+K86</f>
        <v>33722.79</v>
      </c>
      <c r="J86" s="3867">
        <v>33722.79</v>
      </c>
      <c r="K86" s="3867"/>
      <c r="L86" s="3867"/>
      <c r="M86" s="3867"/>
      <c r="N86" s="3873"/>
      <c r="O86" s="3869">
        <f t="shared" si="10"/>
        <v>0.95958768460290811</v>
      </c>
    </row>
    <row r="87" spans="1:16" ht="12.75">
      <c r="A87" s="5376"/>
      <c r="B87" s="5435"/>
      <c r="C87" s="5422"/>
      <c r="D87" s="3870" t="s">
        <v>363</v>
      </c>
      <c r="E87" s="3871">
        <v>4263</v>
      </c>
      <c r="F87" s="3871">
        <v>7390</v>
      </c>
      <c r="G87" s="3867">
        <f t="shared" si="16"/>
        <v>7389.77</v>
      </c>
      <c r="H87" s="3867">
        <f t="shared" si="17"/>
        <v>7389.77</v>
      </c>
      <c r="I87" s="3867">
        <f>J87+K87</f>
        <v>7389.77</v>
      </c>
      <c r="J87" s="3867"/>
      <c r="K87" s="3867">
        <v>7389.77</v>
      </c>
      <c r="L87" s="3867"/>
      <c r="M87" s="3867"/>
      <c r="N87" s="3873"/>
      <c r="O87" s="3869">
        <f t="shared" si="10"/>
        <v>0.99996887686062252</v>
      </c>
    </row>
    <row r="88" spans="1:16" ht="12.75">
      <c r="A88" s="5376"/>
      <c r="B88" s="5435"/>
      <c r="C88" s="5422"/>
      <c r="D88" s="3870" t="s">
        <v>319</v>
      </c>
      <c r="E88" s="3871">
        <v>0</v>
      </c>
      <c r="F88" s="3871">
        <v>2700</v>
      </c>
      <c r="G88" s="3867">
        <f t="shared" si="16"/>
        <v>2700</v>
      </c>
      <c r="H88" s="3867">
        <f t="shared" si="17"/>
        <v>2700</v>
      </c>
      <c r="I88" s="3867">
        <f t="shared" ref="I88:I89" si="18">J88+K88</f>
        <v>2700</v>
      </c>
      <c r="J88" s="3867">
        <v>2700</v>
      </c>
      <c r="K88" s="3867"/>
      <c r="L88" s="3867"/>
      <c r="M88" s="3867"/>
      <c r="N88" s="3873"/>
      <c r="O88" s="3869">
        <f t="shared" si="10"/>
        <v>1</v>
      </c>
    </row>
    <row r="89" spans="1:16" ht="12.75">
      <c r="A89" s="5376"/>
      <c r="B89" s="5435"/>
      <c r="C89" s="5422"/>
      <c r="D89" s="3870" t="s">
        <v>313</v>
      </c>
      <c r="E89" s="3871">
        <v>70946</v>
      </c>
      <c r="F89" s="3871">
        <v>142341</v>
      </c>
      <c r="G89" s="3867">
        <f t="shared" si="16"/>
        <v>141942.46</v>
      </c>
      <c r="H89" s="3867">
        <f t="shared" si="17"/>
        <v>141942.46</v>
      </c>
      <c r="I89" s="3867">
        <f t="shared" si="18"/>
        <v>141942.46</v>
      </c>
      <c r="J89" s="3867"/>
      <c r="K89" s="3867">
        <v>141942.46</v>
      </c>
      <c r="L89" s="3867"/>
      <c r="M89" s="3867"/>
      <c r="N89" s="3873"/>
      <c r="O89" s="3869">
        <f t="shared" ref="O89:O104" si="19">G89/F89</f>
        <v>0.99720010397566405</v>
      </c>
    </row>
    <row r="90" spans="1:16" ht="12.75">
      <c r="A90" s="5376"/>
      <c r="B90" s="5435"/>
      <c r="C90" s="5422"/>
      <c r="D90" s="3870" t="s">
        <v>333</v>
      </c>
      <c r="E90" s="3871">
        <v>4500</v>
      </c>
      <c r="F90" s="3871">
        <v>2856</v>
      </c>
      <c r="G90" s="3867">
        <f t="shared" ref="G90:G103" si="20">H90+N90</f>
        <v>2855.75</v>
      </c>
      <c r="H90" s="3867">
        <f t="shared" ref="H90:H103" si="21">I90+L90+M90</f>
        <v>2855.75</v>
      </c>
      <c r="I90" s="3867">
        <f t="shared" ref="I90:I103" si="22">J90+K90</f>
        <v>2855.75</v>
      </c>
      <c r="J90" s="3867"/>
      <c r="K90" s="3867">
        <v>2855.75</v>
      </c>
      <c r="L90" s="3867"/>
      <c r="M90" s="3867"/>
      <c r="N90" s="3873"/>
      <c r="O90" s="3869">
        <f t="shared" si="19"/>
        <v>0.9999124649859944</v>
      </c>
    </row>
    <row r="91" spans="1:16" ht="12.75">
      <c r="A91" s="5376"/>
      <c r="B91" s="5435"/>
      <c r="C91" s="5422"/>
      <c r="D91" s="3870" t="s">
        <v>332</v>
      </c>
      <c r="E91" s="3871">
        <v>5000</v>
      </c>
      <c r="F91" s="3871">
        <v>5000</v>
      </c>
      <c r="G91" s="3867">
        <f t="shared" si="20"/>
        <v>4985.32</v>
      </c>
      <c r="H91" s="3867">
        <f t="shared" si="21"/>
        <v>4985.32</v>
      </c>
      <c r="I91" s="3867">
        <f t="shared" si="22"/>
        <v>4985.32</v>
      </c>
      <c r="J91" s="3867"/>
      <c r="K91" s="3867">
        <v>4985.32</v>
      </c>
      <c r="L91" s="3867"/>
      <c r="M91" s="3867"/>
      <c r="N91" s="3873"/>
      <c r="O91" s="3869">
        <f t="shared" si="19"/>
        <v>0.99706399999999995</v>
      </c>
    </row>
    <row r="92" spans="1:16" ht="12.75">
      <c r="A92" s="5376"/>
      <c r="B92" s="5435"/>
      <c r="C92" s="5422"/>
      <c r="D92" s="3870" t="s">
        <v>331</v>
      </c>
      <c r="E92" s="3871">
        <v>30973</v>
      </c>
      <c r="F92" s="3871">
        <v>34666</v>
      </c>
      <c r="G92" s="3867">
        <f t="shared" si="20"/>
        <v>34665.75</v>
      </c>
      <c r="H92" s="3867">
        <f t="shared" si="21"/>
        <v>34665.75</v>
      </c>
      <c r="I92" s="3867">
        <f t="shared" si="22"/>
        <v>34665.75</v>
      </c>
      <c r="J92" s="3867"/>
      <c r="K92" s="3867">
        <v>34665.75</v>
      </c>
      <c r="L92" s="3867"/>
      <c r="M92" s="3867"/>
      <c r="N92" s="3873"/>
      <c r="O92" s="3869">
        <f t="shared" si="19"/>
        <v>0.99999278832285232</v>
      </c>
    </row>
    <row r="93" spans="1:16" ht="12.75">
      <c r="A93" s="5376"/>
      <c r="B93" s="5435"/>
      <c r="C93" s="5422"/>
      <c r="D93" s="3870" t="s">
        <v>330</v>
      </c>
      <c r="E93" s="3871">
        <v>14448</v>
      </c>
      <c r="F93" s="3871">
        <v>11448</v>
      </c>
      <c r="G93" s="3867">
        <f t="shared" si="20"/>
        <v>9806.57</v>
      </c>
      <c r="H93" s="3867">
        <f t="shared" si="21"/>
        <v>9806.57</v>
      </c>
      <c r="I93" s="3867">
        <f t="shared" si="22"/>
        <v>9806.57</v>
      </c>
      <c r="J93" s="3867"/>
      <c r="K93" s="3867">
        <v>9806.57</v>
      </c>
      <c r="L93" s="3867"/>
      <c r="M93" s="3867"/>
      <c r="N93" s="3873"/>
      <c r="O93" s="3869">
        <f t="shared" si="19"/>
        <v>0.85661862334032146</v>
      </c>
    </row>
    <row r="94" spans="1:16" ht="12.75">
      <c r="A94" s="5376"/>
      <c r="B94" s="5435"/>
      <c r="C94" s="5422"/>
      <c r="D94" s="3870" t="s">
        <v>329</v>
      </c>
      <c r="E94" s="3871">
        <v>900</v>
      </c>
      <c r="F94" s="3871">
        <v>1120</v>
      </c>
      <c r="G94" s="3867">
        <f t="shared" si="20"/>
        <v>1030.5</v>
      </c>
      <c r="H94" s="3867">
        <f t="shared" si="21"/>
        <v>1030.5</v>
      </c>
      <c r="I94" s="3867">
        <f t="shared" si="22"/>
        <v>1030.5</v>
      </c>
      <c r="J94" s="3867"/>
      <c r="K94" s="3867">
        <v>1030.5</v>
      </c>
      <c r="L94" s="3867"/>
      <c r="M94" s="3867"/>
      <c r="N94" s="3873"/>
      <c r="O94" s="3869">
        <f t="shared" si="19"/>
        <v>0.92008928571428572</v>
      </c>
    </row>
    <row r="95" spans="1:16" ht="12.75">
      <c r="A95" s="5376"/>
      <c r="B95" s="5435"/>
      <c r="C95" s="5422"/>
      <c r="D95" s="3870" t="s">
        <v>312</v>
      </c>
      <c r="E95" s="3871">
        <v>96752</v>
      </c>
      <c r="F95" s="3871">
        <v>155418</v>
      </c>
      <c r="G95" s="3867">
        <f t="shared" si="20"/>
        <v>140706.03</v>
      </c>
      <c r="H95" s="3867">
        <f t="shared" si="21"/>
        <v>140706.03</v>
      </c>
      <c r="I95" s="3867">
        <f t="shared" si="22"/>
        <v>140706.03</v>
      </c>
      <c r="J95" s="3867"/>
      <c r="K95" s="3867">
        <v>140706.03</v>
      </c>
      <c r="L95" s="3867"/>
      <c r="M95" s="3867"/>
      <c r="N95" s="3873"/>
      <c r="O95" s="3869">
        <f t="shared" si="19"/>
        <v>0.90533934293325091</v>
      </c>
    </row>
    <row r="96" spans="1:16" ht="12.75">
      <c r="A96" s="5376"/>
      <c r="B96" s="5435"/>
      <c r="C96" s="5422"/>
      <c r="D96" s="3870" t="s">
        <v>328</v>
      </c>
      <c r="E96" s="3871">
        <v>5133</v>
      </c>
      <c r="F96" s="3871">
        <v>3006</v>
      </c>
      <c r="G96" s="3867">
        <f t="shared" si="20"/>
        <v>3006</v>
      </c>
      <c r="H96" s="3867">
        <f t="shared" si="21"/>
        <v>3006</v>
      </c>
      <c r="I96" s="3867">
        <f t="shared" si="22"/>
        <v>3006</v>
      </c>
      <c r="J96" s="3867"/>
      <c r="K96" s="3867">
        <v>3006</v>
      </c>
      <c r="L96" s="3867"/>
      <c r="M96" s="3867"/>
      <c r="N96" s="3873"/>
      <c r="O96" s="3869">
        <f t="shared" si="19"/>
        <v>1</v>
      </c>
    </row>
    <row r="97" spans="1:16" ht="12.75">
      <c r="A97" s="5376"/>
      <c r="B97" s="5435"/>
      <c r="C97" s="5422"/>
      <c r="D97" s="3860" t="s">
        <v>326</v>
      </c>
      <c r="E97" s="3854">
        <v>6804</v>
      </c>
      <c r="F97" s="3854">
        <v>6098</v>
      </c>
      <c r="G97" s="3867">
        <f t="shared" si="20"/>
        <v>6002.98</v>
      </c>
      <c r="H97" s="3867">
        <f t="shared" si="21"/>
        <v>6002.98</v>
      </c>
      <c r="I97" s="3867">
        <f t="shared" si="22"/>
        <v>6002.98</v>
      </c>
      <c r="J97" s="3855"/>
      <c r="K97" s="3855">
        <v>6002.98</v>
      </c>
      <c r="L97" s="3855"/>
      <c r="M97" s="3855"/>
      <c r="N97" s="3857"/>
      <c r="O97" s="3869">
        <f t="shared" si="19"/>
        <v>0.98441784191538206</v>
      </c>
    </row>
    <row r="98" spans="1:16" ht="12.75">
      <c r="A98" s="5376"/>
      <c r="B98" s="5435"/>
      <c r="C98" s="5422"/>
      <c r="D98" s="3860" t="s">
        <v>325</v>
      </c>
      <c r="E98" s="3854">
        <v>4363</v>
      </c>
      <c r="F98" s="3854">
        <v>3965</v>
      </c>
      <c r="G98" s="3867">
        <f t="shared" si="20"/>
        <v>3965</v>
      </c>
      <c r="H98" s="3867">
        <f t="shared" si="21"/>
        <v>3965</v>
      </c>
      <c r="I98" s="3867">
        <f t="shared" si="22"/>
        <v>3965</v>
      </c>
      <c r="J98" s="3855"/>
      <c r="K98" s="3855">
        <v>3965</v>
      </c>
      <c r="L98" s="3855"/>
      <c r="M98" s="3855"/>
      <c r="N98" s="3857"/>
      <c r="O98" s="3869">
        <f t="shared" si="19"/>
        <v>1</v>
      </c>
    </row>
    <row r="99" spans="1:16" ht="12.75">
      <c r="A99" s="5376"/>
      <c r="B99" s="5435"/>
      <c r="C99" s="5422"/>
      <c r="D99" s="3860" t="s">
        <v>324</v>
      </c>
      <c r="E99" s="3854">
        <v>32427</v>
      </c>
      <c r="F99" s="3854">
        <v>31251</v>
      </c>
      <c r="G99" s="3867">
        <f t="shared" si="20"/>
        <v>31000.93</v>
      </c>
      <c r="H99" s="3867">
        <f t="shared" si="21"/>
        <v>31000.93</v>
      </c>
      <c r="I99" s="3867">
        <f t="shared" si="22"/>
        <v>31000.93</v>
      </c>
      <c r="J99" s="3855"/>
      <c r="K99" s="3855">
        <v>31000.93</v>
      </c>
      <c r="L99" s="3855"/>
      <c r="M99" s="3855"/>
      <c r="N99" s="3857"/>
      <c r="O99" s="3869">
        <f t="shared" si="19"/>
        <v>0.99199801606348603</v>
      </c>
    </row>
    <row r="100" spans="1:16" ht="12.75">
      <c r="A100" s="5376"/>
      <c r="B100" s="5435"/>
      <c r="C100" s="5422"/>
      <c r="D100" s="3860" t="s">
        <v>323</v>
      </c>
      <c r="E100" s="3854">
        <v>5311</v>
      </c>
      <c r="F100" s="3854">
        <v>5112</v>
      </c>
      <c r="G100" s="3867">
        <f t="shared" si="20"/>
        <v>5111.95</v>
      </c>
      <c r="H100" s="3867">
        <f t="shared" si="21"/>
        <v>5111.95</v>
      </c>
      <c r="I100" s="3867">
        <f t="shared" si="22"/>
        <v>5111.95</v>
      </c>
      <c r="J100" s="3855"/>
      <c r="K100" s="3855">
        <v>5111.95</v>
      </c>
      <c r="L100" s="3855"/>
      <c r="M100" s="3855"/>
      <c r="N100" s="3857"/>
      <c r="O100" s="3869">
        <f t="shared" si="19"/>
        <v>0.99999021909233177</v>
      </c>
    </row>
    <row r="101" spans="1:16" ht="12.75">
      <c r="A101" s="5376"/>
      <c r="B101" s="5435"/>
      <c r="C101" s="5422"/>
      <c r="D101" s="3860" t="s">
        <v>362</v>
      </c>
      <c r="E101" s="3854">
        <v>4887</v>
      </c>
      <c r="F101" s="3854">
        <v>4236</v>
      </c>
      <c r="G101" s="3867">
        <f t="shared" si="20"/>
        <v>4235.8900000000003</v>
      </c>
      <c r="H101" s="3867">
        <f t="shared" si="21"/>
        <v>4235.8900000000003</v>
      </c>
      <c r="I101" s="3867">
        <f t="shared" si="22"/>
        <v>4235.8900000000003</v>
      </c>
      <c r="J101" s="3855"/>
      <c r="K101" s="3855">
        <v>4235.8900000000003</v>
      </c>
      <c r="L101" s="3855"/>
      <c r="M101" s="3855"/>
      <c r="N101" s="3857"/>
      <c r="O101" s="3869">
        <f t="shared" si="19"/>
        <v>0.99997403210576019</v>
      </c>
    </row>
    <row r="102" spans="1:16" ht="12.75">
      <c r="A102" s="5376"/>
      <c r="B102" s="5435"/>
      <c r="C102" s="5422"/>
      <c r="D102" s="3860" t="s">
        <v>322</v>
      </c>
      <c r="E102" s="3854">
        <v>30670</v>
      </c>
      <c r="F102" s="3854">
        <v>28948</v>
      </c>
      <c r="G102" s="3867">
        <f t="shared" si="20"/>
        <v>28487.52</v>
      </c>
      <c r="H102" s="3867">
        <f t="shared" si="21"/>
        <v>28487.52</v>
      </c>
      <c r="I102" s="3867">
        <f t="shared" si="22"/>
        <v>28487.52</v>
      </c>
      <c r="J102" s="3855"/>
      <c r="K102" s="3855">
        <v>28487.52</v>
      </c>
      <c r="L102" s="3855"/>
      <c r="M102" s="3855"/>
      <c r="N102" s="3857"/>
      <c r="O102" s="3869">
        <f t="shared" si="19"/>
        <v>0.98409285615586573</v>
      </c>
    </row>
    <row r="103" spans="1:16" ht="13.5" thickBot="1">
      <c r="A103" s="5389"/>
      <c r="B103" s="5436"/>
      <c r="C103" s="5429"/>
      <c r="D103" s="3902" t="s">
        <v>335</v>
      </c>
      <c r="E103" s="3903">
        <v>4371</v>
      </c>
      <c r="F103" s="3903">
        <v>10256</v>
      </c>
      <c r="G103" s="3884">
        <f t="shared" si="20"/>
        <v>9911.3799999999992</v>
      </c>
      <c r="H103" s="3884">
        <f t="shared" si="21"/>
        <v>9911.3799999999992</v>
      </c>
      <c r="I103" s="3884">
        <f t="shared" si="22"/>
        <v>9911.3799999999992</v>
      </c>
      <c r="J103" s="3904">
        <v>9911.3799999999992</v>
      </c>
      <c r="K103" s="3904"/>
      <c r="L103" s="3904"/>
      <c r="M103" s="3904"/>
      <c r="N103" s="3905"/>
      <c r="O103" s="3906">
        <f t="shared" si="19"/>
        <v>0.966398205928237</v>
      </c>
    </row>
    <row r="104" spans="1:16" ht="27.75" customHeight="1">
      <c r="A104" s="5376" t="s">
        <v>359</v>
      </c>
      <c r="B104" s="5443" t="s">
        <v>254</v>
      </c>
      <c r="C104" s="5443"/>
      <c r="D104" s="3843"/>
      <c r="E104" s="3844">
        <f>E105+E111</f>
        <v>0</v>
      </c>
      <c r="F104" s="3844">
        <f>F105+F111</f>
        <v>491573</v>
      </c>
      <c r="G104" s="3845">
        <f>G105+G111</f>
        <v>491572.08999999997</v>
      </c>
      <c r="H104" s="3845">
        <f>I104+L104+M104</f>
        <v>491572.08999999997</v>
      </c>
      <c r="I104" s="3845">
        <f>J104+K104</f>
        <v>491572.08999999997</v>
      </c>
      <c r="J104" s="3845">
        <f>J105+J111</f>
        <v>171055.29</v>
      </c>
      <c r="K104" s="3845">
        <f>K105+K111</f>
        <v>320516.8</v>
      </c>
      <c r="L104" s="3845">
        <f>L105+L111</f>
        <v>0</v>
      </c>
      <c r="M104" s="3845">
        <f>M105+M111</f>
        <v>0</v>
      </c>
      <c r="N104" s="3845">
        <f>N105+N111</f>
        <v>0</v>
      </c>
      <c r="O104" s="3846">
        <f t="shared" si="19"/>
        <v>0.99999814879987303</v>
      </c>
    </row>
    <row r="105" spans="1:16" ht="27" customHeight="1">
      <c r="A105" s="5379"/>
      <c r="B105" s="5446" t="s">
        <v>358</v>
      </c>
      <c r="C105" s="5437" t="s">
        <v>255</v>
      </c>
      <c r="D105" s="690" t="s">
        <v>454</v>
      </c>
      <c r="E105" s="691">
        <f>SUM(E106:E109)</f>
        <v>0</v>
      </c>
      <c r="F105" s="691">
        <f>SUM(F106:F110)</f>
        <v>339673</v>
      </c>
      <c r="G105" s="694">
        <f>SUM(H105,N105)</f>
        <v>339672.08999999997</v>
      </c>
      <c r="H105" s="694">
        <f>SUM(I105,L105,M105)</f>
        <v>339672.08999999997</v>
      </c>
      <c r="I105" s="694">
        <f>SUM(J105:K105)</f>
        <v>339672.08999999997</v>
      </c>
      <c r="J105" s="694">
        <f>SUM(J106:J109)</f>
        <v>171055.29</v>
      </c>
      <c r="K105" s="694">
        <f>SUM(K106:K110)</f>
        <v>168616.8</v>
      </c>
      <c r="L105" s="694">
        <v>0</v>
      </c>
      <c r="M105" s="694">
        <v>0</v>
      </c>
      <c r="N105" s="697">
        <v>0</v>
      </c>
      <c r="O105" s="1260">
        <f>SUM(G105/F105)</f>
        <v>0.99999732095279859</v>
      </c>
      <c r="P105" s="77"/>
    </row>
    <row r="106" spans="1:16" ht="15" customHeight="1">
      <c r="A106" s="5379"/>
      <c r="B106" s="5447"/>
      <c r="C106" s="5438"/>
      <c r="D106" s="692" t="s">
        <v>337</v>
      </c>
      <c r="E106" s="693">
        <v>0</v>
      </c>
      <c r="F106" s="693">
        <v>141077</v>
      </c>
      <c r="G106" s="695">
        <f>H106+N106</f>
        <v>141077</v>
      </c>
      <c r="H106" s="695">
        <f>I106+L106+M106</f>
        <v>141077</v>
      </c>
      <c r="I106" s="695">
        <f>J106+K106</f>
        <v>141077</v>
      </c>
      <c r="J106" s="695">
        <v>141077</v>
      </c>
      <c r="K106" s="696"/>
      <c r="L106" s="696"/>
      <c r="M106" s="696"/>
      <c r="N106" s="698"/>
      <c r="O106" s="1261">
        <f>SUM(G106/F106)</f>
        <v>1</v>
      </c>
    </row>
    <row r="107" spans="1:16" ht="15" customHeight="1">
      <c r="A107" s="5379"/>
      <c r="B107" s="5447"/>
      <c r="C107" s="5438"/>
      <c r="D107" s="1264" t="s">
        <v>336</v>
      </c>
      <c r="E107" s="1265">
        <v>0</v>
      </c>
      <c r="F107" s="1265">
        <v>2998</v>
      </c>
      <c r="G107" s="695">
        <f t="shared" ref="G107:G110" si="23">H107+N107</f>
        <v>2998</v>
      </c>
      <c r="H107" s="695">
        <f t="shared" ref="H107:H110" si="24">I107+L107+M107</f>
        <v>2998</v>
      </c>
      <c r="I107" s="695">
        <f t="shared" ref="I107:I110" si="25">J107+K107</f>
        <v>2998</v>
      </c>
      <c r="J107" s="703">
        <v>2998</v>
      </c>
      <c r="K107" s="1266"/>
      <c r="L107" s="1266"/>
      <c r="M107" s="1266"/>
      <c r="N107" s="1267"/>
      <c r="O107" s="1261">
        <f t="shared" ref="O107:O112" si="26">SUM(G107/F107)</f>
        <v>1</v>
      </c>
    </row>
    <row r="108" spans="1:16" ht="15" customHeight="1">
      <c r="A108" s="5379"/>
      <c r="B108" s="5447"/>
      <c r="C108" s="5438"/>
      <c r="D108" s="692" t="s">
        <v>315</v>
      </c>
      <c r="E108" s="693">
        <v>0</v>
      </c>
      <c r="F108" s="693">
        <v>24153</v>
      </c>
      <c r="G108" s="695">
        <f t="shared" si="23"/>
        <v>24153</v>
      </c>
      <c r="H108" s="695">
        <f t="shared" si="24"/>
        <v>24153</v>
      </c>
      <c r="I108" s="695">
        <f t="shared" si="25"/>
        <v>24153</v>
      </c>
      <c r="J108" s="695">
        <v>24153</v>
      </c>
      <c r="K108" s="696"/>
      <c r="L108" s="696"/>
      <c r="M108" s="696"/>
      <c r="N108" s="698"/>
      <c r="O108" s="1261">
        <f t="shared" si="26"/>
        <v>1</v>
      </c>
    </row>
    <row r="109" spans="1:16" ht="15.75" customHeight="1">
      <c r="A109" s="5379"/>
      <c r="B109" s="5447"/>
      <c r="C109" s="5438"/>
      <c r="D109" s="1268" t="s">
        <v>314</v>
      </c>
      <c r="E109" s="1269">
        <v>0</v>
      </c>
      <c r="F109" s="1269">
        <v>2828</v>
      </c>
      <c r="G109" s="695">
        <f t="shared" si="23"/>
        <v>2827.29</v>
      </c>
      <c r="H109" s="695">
        <f t="shared" si="24"/>
        <v>2827.29</v>
      </c>
      <c r="I109" s="695">
        <f t="shared" si="25"/>
        <v>2827.29</v>
      </c>
      <c r="J109" s="1270">
        <v>2827.29</v>
      </c>
      <c r="K109" s="1271"/>
      <c r="L109" s="1271"/>
      <c r="M109" s="1271"/>
      <c r="N109" s="1272"/>
      <c r="O109" s="1261">
        <f t="shared" si="26"/>
        <v>0.99974893917963226</v>
      </c>
    </row>
    <row r="110" spans="1:16" ht="15.75" customHeight="1">
      <c r="A110" s="5379"/>
      <c r="B110" s="5447"/>
      <c r="C110" s="5438"/>
      <c r="D110" s="1279" t="s">
        <v>312</v>
      </c>
      <c r="E110" s="1280"/>
      <c r="F110" s="1280">
        <v>168617</v>
      </c>
      <c r="G110" s="1281">
        <f t="shared" si="23"/>
        <v>168616.8</v>
      </c>
      <c r="H110" s="1281">
        <f t="shared" si="24"/>
        <v>168616.8</v>
      </c>
      <c r="I110" s="1281">
        <f t="shared" si="25"/>
        <v>168616.8</v>
      </c>
      <c r="J110" s="1281"/>
      <c r="K110" s="1281">
        <v>168616.8</v>
      </c>
      <c r="L110" s="1282"/>
      <c r="M110" s="1282"/>
      <c r="N110" s="1272"/>
      <c r="O110" s="1273">
        <f t="shared" si="26"/>
        <v>0.99999881387997647</v>
      </c>
    </row>
    <row r="111" spans="1:16" ht="27" customHeight="1">
      <c r="A111" s="5379"/>
      <c r="B111" s="5439" t="s">
        <v>939</v>
      </c>
      <c r="C111" s="5440" t="s">
        <v>357</v>
      </c>
      <c r="D111" s="1283" t="s">
        <v>454</v>
      </c>
      <c r="E111" s="1284">
        <f>E112</f>
        <v>0</v>
      </c>
      <c r="F111" s="1284">
        <f>F112</f>
        <v>151900</v>
      </c>
      <c r="G111" s="1285">
        <f>H111+N111</f>
        <v>151900</v>
      </c>
      <c r="H111" s="1285">
        <f>I111+L111+M111</f>
        <v>151900</v>
      </c>
      <c r="I111" s="1285">
        <f>J111+K111</f>
        <v>151900</v>
      </c>
      <c r="J111" s="1285"/>
      <c r="K111" s="1285">
        <f>K112</f>
        <v>151900</v>
      </c>
      <c r="L111" s="1285">
        <f>L112</f>
        <v>0</v>
      </c>
      <c r="M111" s="1285">
        <f>M112</f>
        <v>0</v>
      </c>
      <c r="N111" s="1286">
        <f>N112</f>
        <v>0</v>
      </c>
      <c r="O111" s="1287">
        <f t="shared" si="26"/>
        <v>1</v>
      </c>
      <c r="P111" s="77"/>
    </row>
    <row r="112" spans="1:16" ht="15" customHeight="1" thickBot="1">
      <c r="A112" s="5389"/>
      <c r="B112" s="5428"/>
      <c r="C112" s="5429"/>
      <c r="D112" s="1274" t="s">
        <v>312</v>
      </c>
      <c r="E112" s="1275">
        <v>0</v>
      </c>
      <c r="F112" s="1275">
        <v>151900</v>
      </c>
      <c r="G112" s="1276">
        <f>H112+N112</f>
        <v>151900</v>
      </c>
      <c r="H112" s="1276">
        <f>I112+L112+M112</f>
        <v>151900</v>
      </c>
      <c r="I112" s="703">
        <f>J112+K112</f>
        <v>151900</v>
      </c>
      <c r="J112" s="1276"/>
      <c r="K112" s="1276">
        <v>151900</v>
      </c>
      <c r="L112" s="1277"/>
      <c r="M112" s="1277"/>
      <c r="N112" s="1278"/>
      <c r="O112" s="1273">
        <f t="shared" si="26"/>
        <v>1</v>
      </c>
    </row>
    <row r="113" spans="1:15" ht="35.1" customHeight="1" thickBot="1">
      <c r="A113" s="5444" t="s">
        <v>453</v>
      </c>
      <c r="B113" s="5445"/>
      <c r="C113" s="5445"/>
      <c r="D113" s="1258"/>
      <c r="E113" s="1288">
        <f>SUM(E7,E14,E25,E30,E36,E59,E63,E75,E80,E104)</f>
        <v>76934000</v>
      </c>
      <c r="F113" s="1288">
        <f t="shared" ref="F113:N113" si="27">SUM(F7,F14,F25,F30,F36,F59,F63,F75,F80,F104)</f>
        <v>119041708</v>
      </c>
      <c r="G113" s="1288">
        <f t="shared" si="27"/>
        <v>109658825.48999999</v>
      </c>
      <c r="H113" s="1288">
        <f t="shared" si="27"/>
        <v>108315836.83999999</v>
      </c>
      <c r="I113" s="1288">
        <f t="shared" si="27"/>
        <v>36323819.859999999</v>
      </c>
      <c r="J113" s="1288">
        <f t="shared" si="27"/>
        <v>3775154.5399999996</v>
      </c>
      <c r="K113" s="1288">
        <f t="shared" si="27"/>
        <v>32548665.32</v>
      </c>
      <c r="L113" s="1288">
        <f t="shared" si="27"/>
        <v>71978004.629999995</v>
      </c>
      <c r="M113" s="1288">
        <f t="shared" si="27"/>
        <v>14012.349999999999</v>
      </c>
      <c r="N113" s="1288">
        <f t="shared" si="27"/>
        <v>1342988.65</v>
      </c>
      <c r="O113" s="1259">
        <f>G113/F113</f>
        <v>0.92117987327601181</v>
      </c>
    </row>
    <row r="114" spans="1:15" ht="12.75">
      <c r="A114" s="169"/>
      <c r="B114" s="170"/>
      <c r="E114" s="171"/>
      <c r="F114" s="171"/>
      <c r="G114" s="171"/>
      <c r="H114" s="171"/>
      <c r="I114" s="172"/>
      <c r="J114" s="173"/>
      <c r="K114" s="173"/>
      <c r="L114" s="173"/>
      <c r="M114" s="172"/>
      <c r="N114" s="172"/>
      <c r="O114" s="171"/>
    </row>
    <row r="115" spans="1:15" ht="12.75">
      <c r="A115" s="169"/>
      <c r="B115" s="170"/>
      <c r="G115" s="174"/>
      <c r="H115" s="174"/>
      <c r="I115" s="174"/>
      <c r="J115" s="174"/>
      <c r="K115" s="174"/>
      <c r="L115" s="174"/>
      <c r="M115" s="174"/>
      <c r="N115" s="174"/>
    </row>
    <row r="116" spans="1:15" ht="12.75">
      <c r="A116" s="169"/>
      <c r="B116" s="170"/>
      <c r="G116" s="174"/>
      <c r="H116" s="174"/>
      <c r="I116" s="174"/>
      <c r="J116" s="174"/>
      <c r="K116" s="171"/>
      <c r="L116" s="174"/>
      <c r="M116" s="174"/>
      <c r="N116" s="174"/>
    </row>
    <row r="117" spans="1:15" ht="12.75">
      <c r="A117" s="169"/>
      <c r="B117" s="170"/>
      <c r="G117" s="174"/>
      <c r="H117" s="174"/>
      <c r="I117" s="174"/>
      <c r="J117" s="174"/>
      <c r="K117" s="174"/>
      <c r="L117" s="174"/>
      <c r="M117" s="174"/>
      <c r="N117" s="174"/>
    </row>
    <row r="118" spans="1:15" ht="12.75">
      <c r="A118" s="169"/>
      <c r="B118" s="170"/>
      <c r="G118" s="174"/>
      <c r="H118" s="174"/>
      <c r="I118" s="174"/>
      <c r="J118" s="174"/>
      <c r="K118" s="171"/>
      <c r="L118" s="174"/>
      <c r="M118" s="174"/>
      <c r="N118" s="174"/>
    </row>
    <row r="119" spans="1:15" ht="12.75">
      <c r="A119" s="5441"/>
      <c r="B119" s="5442"/>
      <c r="C119" s="5442"/>
      <c r="D119" s="5442"/>
      <c r="E119" s="5442"/>
      <c r="F119" s="5442"/>
      <c r="G119" s="5442"/>
      <c r="H119" s="5442"/>
      <c r="I119" s="5442"/>
      <c r="J119" s="5442"/>
      <c r="K119" s="5442"/>
      <c r="L119" s="5442"/>
      <c r="M119" s="5442"/>
      <c r="N119" s="5442"/>
    </row>
    <row r="120" spans="1:15" ht="12.75">
      <c r="A120" s="169"/>
      <c r="B120" s="170"/>
      <c r="H120" s="174"/>
      <c r="I120" s="174"/>
      <c r="J120" s="174"/>
      <c r="K120" s="174"/>
      <c r="L120" s="174"/>
      <c r="M120" s="174"/>
      <c r="N120" s="174"/>
    </row>
    <row r="121" spans="1:15" ht="12.75">
      <c r="A121" s="169"/>
      <c r="B121" s="170"/>
      <c r="G121" s="174"/>
      <c r="H121" s="174"/>
      <c r="I121" s="174"/>
      <c r="J121" s="174"/>
      <c r="K121" s="174"/>
      <c r="L121" s="174"/>
      <c r="M121" s="174"/>
      <c r="N121" s="174"/>
    </row>
    <row r="122" spans="1:15" ht="12.75">
      <c r="A122" s="169"/>
      <c r="B122" s="170"/>
      <c r="H122" s="174"/>
      <c r="I122" s="174"/>
      <c r="J122" s="174"/>
      <c r="K122" s="174"/>
      <c r="L122" s="174"/>
      <c r="M122" s="174"/>
      <c r="N122" s="174"/>
    </row>
    <row r="123" spans="1:15" ht="12.75">
      <c r="A123" s="169"/>
      <c r="B123" s="170"/>
      <c r="H123" s="174"/>
      <c r="I123" s="174"/>
      <c r="J123" s="174"/>
      <c r="K123" s="174"/>
      <c r="L123" s="174"/>
      <c r="M123" s="174"/>
      <c r="N123" s="174"/>
    </row>
    <row r="124" spans="1:15" ht="12.75">
      <c r="A124" s="169"/>
      <c r="B124" s="170"/>
      <c r="H124" s="174"/>
      <c r="I124" s="174"/>
      <c r="J124" s="174"/>
      <c r="K124" s="174"/>
      <c r="L124" s="174"/>
      <c r="M124" s="174"/>
      <c r="N124" s="174"/>
    </row>
    <row r="125" spans="1:15" ht="12.75">
      <c r="A125" s="169"/>
      <c r="B125" s="170"/>
      <c r="H125" s="174"/>
      <c r="I125" s="174"/>
      <c r="J125" s="174"/>
      <c r="K125" s="174"/>
      <c r="L125" s="174"/>
      <c r="M125" s="174"/>
      <c r="N125" s="174"/>
    </row>
    <row r="126" spans="1:15" ht="12.75">
      <c r="A126" s="169"/>
      <c r="B126" s="170"/>
      <c r="H126" s="174"/>
      <c r="I126" s="174"/>
      <c r="J126" s="174"/>
      <c r="K126" s="174"/>
      <c r="L126" s="174"/>
      <c r="M126" s="174"/>
      <c r="N126" s="174"/>
    </row>
    <row r="127" spans="1:15" ht="12.75">
      <c r="A127" s="175"/>
      <c r="B127" s="170"/>
      <c r="H127" s="174"/>
      <c r="I127" s="174"/>
      <c r="J127" s="174"/>
      <c r="K127" s="174"/>
      <c r="L127" s="174"/>
      <c r="M127" s="174"/>
      <c r="N127" s="174"/>
    </row>
    <row r="128" spans="1:15" ht="12.75">
      <c r="A128" s="175"/>
      <c r="B128" s="170"/>
      <c r="H128" s="174"/>
      <c r="I128" s="174"/>
      <c r="J128" s="174"/>
      <c r="K128" s="174"/>
      <c r="L128" s="174"/>
      <c r="M128" s="174"/>
      <c r="N128" s="174"/>
    </row>
    <row r="129" spans="1:14" ht="12.75">
      <c r="A129" s="175"/>
      <c r="B129" s="170"/>
      <c r="H129" s="174"/>
      <c r="I129" s="174"/>
      <c r="J129" s="174"/>
      <c r="K129" s="174"/>
      <c r="L129" s="174"/>
      <c r="M129" s="174"/>
      <c r="N129" s="174"/>
    </row>
    <row r="130" spans="1:14" ht="12.75">
      <c r="A130" s="175"/>
      <c r="B130" s="170"/>
      <c r="H130" s="174"/>
      <c r="I130" s="174"/>
      <c r="J130" s="174"/>
      <c r="K130" s="174"/>
      <c r="L130" s="174"/>
      <c r="M130" s="174"/>
      <c r="N130" s="174"/>
    </row>
    <row r="131" spans="1:14" ht="12.75">
      <c r="A131" s="175"/>
      <c r="B131" s="170"/>
      <c r="H131" s="174"/>
      <c r="I131" s="174"/>
      <c r="J131" s="174"/>
      <c r="K131" s="174"/>
      <c r="L131" s="174"/>
      <c r="M131" s="174"/>
      <c r="N131" s="174"/>
    </row>
    <row r="132" spans="1:14" ht="12.75">
      <c r="A132" s="175"/>
      <c r="B132" s="170"/>
      <c r="H132" s="174"/>
      <c r="I132" s="174"/>
      <c r="J132" s="174"/>
      <c r="K132" s="174"/>
      <c r="L132" s="174"/>
      <c r="M132" s="174"/>
      <c r="N132" s="174"/>
    </row>
    <row r="133" spans="1:14" ht="12.75">
      <c r="A133" s="175"/>
      <c r="B133" s="170"/>
      <c r="H133" s="174"/>
      <c r="I133" s="174"/>
      <c r="J133" s="174"/>
      <c r="K133" s="174"/>
      <c r="L133" s="174"/>
      <c r="M133" s="174"/>
      <c r="N133" s="174"/>
    </row>
    <row r="134" spans="1:14" ht="12.75">
      <c r="A134" s="175"/>
      <c r="B134" s="170"/>
      <c r="H134" s="174"/>
      <c r="I134" s="174"/>
      <c r="J134" s="174"/>
      <c r="K134" s="174"/>
      <c r="L134" s="174"/>
      <c r="M134" s="174"/>
      <c r="N134" s="174"/>
    </row>
    <row r="135" spans="1:14" ht="12.75">
      <c r="A135" s="175"/>
      <c r="B135" s="170"/>
      <c r="H135" s="174"/>
      <c r="I135" s="174"/>
      <c r="J135" s="174"/>
      <c r="K135" s="174"/>
      <c r="L135" s="174"/>
      <c r="M135" s="174"/>
      <c r="N135" s="174"/>
    </row>
    <row r="136" spans="1:14" ht="12.75">
      <c r="A136" s="175"/>
      <c r="B136" s="170"/>
      <c r="H136" s="174"/>
      <c r="I136" s="174"/>
      <c r="J136" s="174"/>
      <c r="K136" s="174"/>
      <c r="L136" s="174"/>
      <c r="M136" s="174"/>
      <c r="N136" s="174"/>
    </row>
    <row r="137" spans="1:14" ht="12.75">
      <c r="A137" s="175"/>
      <c r="B137" s="170"/>
      <c r="H137" s="174"/>
      <c r="I137" s="174"/>
      <c r="J137" s="174"/>
      <c r="K137" s="174"/>
      <c r="L137" s="174"/>
      <c r="M137" s="174"/>
      <c r="N137" s="174"/>
    </row>
    <row r="138" spans="1:14" ht="12.75">
      <c r="A138" s="175"/>
      <c r="B138" s="170"/>
      <c r="H138" s="174"/>
      <c r="I138" s="174"/>
      <c r="J138" s="174"/>
      <c r="K138" s="174"/>
      <c r="L138" s="174"/>
      <c r="M138" s="174"/>
      <c r="N138" s="174"/>
    </row>
    <row r="139" spans="1:14" ht="12.75">
      <c r="A139" s="175"/>
      <c r="B139" s="170"/>
      <c r="H139" s="174"/>
      <c r="I139" s="174"/>
      <c r="J139" s="174"/>
      <c r="K139" s="174"/>
      <c r="L139" s="174"/>
      <c r="M139" s="174"/>
      <c r="N139" s="174"/>
    </row>
    <row r="140" spans="1:14" ht="12.75">
      <c r="A140" s="175"/>
      <c r="B140" s="170"/>
      <c r="H140" s="174"/>
      <c r="I140" s="174"/>
      <c r="J140" s="174"/>
      <c r="K140" s="174"/>
      <c r="L140" s="174"/>
      <c r="M140" s="174"/>
      <c r="N140" s="174"/>
    </row>
    <row r="141" spans="1:14" ht="12.75">
      <c r="A141" s="175"/>
      <c r="B141" s="170"/>
      <c r="H141" s="174"/>
      <c r="I141" s="174"/>
      <c r="J141" s="174"/>
      <c r="K141" s="174"/>
      <c r="L141" s="174"/>
      <c r="M141" s="174"/>
      <c r="N141" s="174"/>
    </row>
    <row r="142" spans="1:14" ht="12.75">
      <c r="A142" s="175"/>
      <c r="B142" s="170"/>
      <c r="H142" s="174"/>
      <c r="I142" s="174"/>
      <c r="J142" s="174"/>
      <c r="K142" s="174"/>
      <c r="L142" s="174"/>
      <c r="M142" s="174"/>
      <c r="N142" s="174"/>
    </row>
    <row r="143" spans="1:14" ht="12.75">
      <c r="A143" s="175"/>
    </row>
    <row r="144" spans="1:14" ht="12.75">
      <c r="A144" s="175"/>
    </row>
    <row r="145" spans="1:15" ht="12.75">
      <c r="A145" s="175"/>
    </row>
    <row r="146" spans="1:15" ht="12.75">
      <c r="A146" s="175"/>
    </row>
    <row r="147" spans="1:15" ht="12.75">
      <c r="A147" s="175"/>
    </row>
    <row r="148" spans="1:15" s="75" customFormat="1" ht="12.75">
      <c r="A148" s="175"/>
      <c r="B148" s="1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</row>
    <row r="149" spans="1:15" s="75" customFormat="1" ht="12.75">
      <c r="A149" s="175"/>
      <c r="B149" s="1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</row>
    <row r="150" spans="1:15" s="75" customFormat="1" ht="12.75">
      <c r="A150" s="175"/>
      <c r="B150" s="1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</row>
    <row r="151" spans="1:15" s="75" customFormat="1" ht="12.75">
      <c r="A151" s="175"/>
      <c r="B151" s="1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</row>
    <row r="152" spans="1:15" s="75" customFormat="1" ht="12.75">
      <c r="A152" s="175"/>
      <c r="B152" s="1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</row>
    <row r="153" spans="1:15" s="75" customFormat="1" ht="12.75">
      <c r="A153" s="175"/>
      <c r="B153" s="1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</row>
    <row r="154" spans="1:15" s="75" customFormat="1" ht="12.75">
      <c r="A154" s="175"/>
      <c r="B154" s="1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</row>
    <row r="155" spans="1:15" s="75" customFormat="1" ht="12.75">
      <c r="A155" s="175"/>
      <c r="B155" s="1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</row>
    <row r="156" spans="1:15" s="75" customFormat="1" ht="12.75">
      <c r="A156" s="175"/>
      <c r="B156" s="1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</row>
    <row r="157" spans="1:15" s="75" customFormat="1" ht="12.75">
      <c r="A157" s="175"/>
      <c r="B157" s="1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</row>
    <row r="158" spans="1:15" s="75" customFormat="1" ht="12.75">
      <c r="A158" s="175"/>
      <c r="B158" s="1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</row>
    <row r="159" spans="1:15" s="75" customFormat="1" ht="12.75">
      <c r="A159" s="175"/>
      <c r="B159" s="1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</row>
    <row r="160" spans="1:15" s="75" customFormat="1" ht="12.75">
      <c r="A160" s="175"/>
      <c r="B160" s="1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</row>
    <row r="161" spans="1:15" s="75" customFormat="1" ht="12.75">
      <c r="A161" s="175"/>
      <c r="B161" s="1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s="75" customFormat="1" ht="12.75">
      <c r="A162" s="175"/>
      <c r="B162" s="1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</row>
    <row r="163" spans="1:15" s="75" customFormat="1" ht="12.75">
      <c r="A163" s="175"/>
      <c r="B163" s="1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</row>
    <row r="164" spans="1:15" s="75" customFormat="1" ht="12.75">
      <c r="A164" s="175"/>
      <c r="B164" s="1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</row>
    <row r="165" spans="1:15" s="75" customFormat="1" ht="12.75">
      <c r="A165" s="175"/>
      <c r="B165" s="1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</row>
    <row r="166" spans="1:15" s="75" customFormat="1" ht="12.75">
      <c r="A166" s="175"/>
      <c r="B166" s="1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s="75" customFormat="1" ht="12.75">
      <c r="A167" s="175"/>
      <c r="B167" s="1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</row>
    <row r="168" spans="1:15" s="75" customFormat="1" ht="12.75">
      <c r="A168" s="175"/>
      <c r="B168" s="1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</row>
    <row r="169" spans="1:15" s="75" customFormat="1" ht="12.75">
      <c r="A169" s="175"/>
      <c r="B169" s="1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75" customFormat="1" ht="12.75">
      <c r="A170" s="175"/>
      <c r="B170" s="1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</row>
    <row r="171" spans="1:15" s="75" customFormat="1" ht="12.75">
      <c r="A171" s="175"/>
      <c r="B171" s="1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</row>
    <row r="172" spans="1:15" s="75" customFormat="1" ht="12.75">
      <c r="A172" s="175"/>
      <c r="B172" s="1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</row>
    <row r="173" spans="1:15" s="75" customFormat="1" ht="12.75">
      <c r="A173" s="175"/>
      <c r="B173" s="1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</row>
    <row r="174" spans="1:15" s="75" customFormat="1" ht="12.75">
      <c r="A174" s="175"/>
      <c r="B174" s="1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</row>
    <row r="175" spans="1:15" s="75" customFormat="1" ht="12.75">
      <c r="A175" s="175"/>
      <c r="B175" s="1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s="75" customFormat="1" ht="12.75">
      <c r="A176" s="175"/>
      <c r="B176" s="1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</row>
    <row r="177" spans="1:15" s="75" customFormat="1" ht="12.75">
      <c r="A177" s="175"/>
      <c r="B177" s="1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</row>
    <row r="178" spans="1:15" s="75" customFormat="1" ht="12.75">
      <c r="A178" s="175"/>
      <c r="B178" s="1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</row>
    <row r="179" spans="1:15" s="75" customFormat="1" ht="12.75">
      <c r="A179" s="175"/>
      <c r="B179" s="1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</row>
    <row r="180" spans="1:15" s="75" customFormat="1" ht="12.75">
      <c r="A180" s="175"/>
      <c r="B180" s="1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</row>
    <row r="181" spans="1:15" s="75" customFormat="1" ht="12.75">
      <c r="A181" s="175"/>
      <c r="B181" s="1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</row>
    <row r="182" spans="1:15" s="75" customFormat="1" ht="12.75">
      <c r="A182" s="175"/>
      <c r="B182" s="1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</row>
    <row r="183" spans="1:15" s="75" customFormat="1" ht="12.75">
      <c r="A183" s="175"/>
      <c r="B183" s="1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</row>
    <row r="184" spans="1:15" s="75" customFormat="1" ht="12.75">
      <c r="A184" s="175"/>
      <c r="B184" s="1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</row>
    <row r="185" spans="1:15" s="75" customFormat="1" ht="12.75">
      <c r="A185" s="175"/>
      <c r="B185" s="1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</row>
    <row r="251" spans="7:7">
      <c r="G251" s="76">
        <f>115000000+12000000</f>
        <v>127000000</v>
      </c>
    </row>
  </sheetData>
  <mergeCells count="73">
    <mergeCell ref="C105:C110"/>
    <mergeCell ref="A104:A112"/>
    <mergeCell ref="B111:B112"/>
    <mergeCell ref="C111:C112"/>
    <mergeCell ref="A119:N119"/>
    <mergeCell ref="B104:C104"/>
    <mergeCell ref="A113:C113"/>
    <mergeCell ref="B105:B110"/>
    <mergeCell ref="A75:A79"/>
    <mergeCell ref="B75:C75"/>
    <mergeCell ref="B76:B79"/>
    <mergeCell ref="C76:C79"/>
    <mergeCell ref="A80:A103"/>
    <mergeCell ref="B80:C80"/>
    <mergeCell ref="B81:B103"/>
    <mergeCell ref="C81:C103"/>
    <mergeCell ref="B72:B74"/>
    <mergeCell ref="C72:C74"/>
    <mergeCell ref="B66:B71"/>
    <mergeCell ref="C66:C71"/>
    <mergeCell ref="A66:A74"/>
    <mergeCell ref="A59:A62"/>
    <mergeCell ref="B59:C59"/>
    <mergeCell ref="B60:B62"/>
    <mergeCell ref="C60:C62"/>
    <mergeCell ref="B63:C63"/>
    <mergeCell ref="A63:A65"/>
    <mergeCell ref="B64:B65"/>
    <mergeCell ref="C64:C65"/>
    <mergeCell ref="B47:B58"/>
    <mergeCell ref="C47:C58"/>
    <mergeCell ref="A36:A40"/>
    <mergeCell ref="A41:A58"/>
    <mergeCell ref="B36:C36"/>
    <mergeCell ref="B37:B40"/>
    <mergeCell ref="C37:C40"/>
    <mergeCell ref="B41:B46"/>
    <mergeCell ref="C41:C46"/>
    <mergeCell ref="A25:A29"/>
    <mergeCell ref="B25:C25"/>
    <mergeCell ref="B26:B29"/>
    <mergeCell ref="C26:C29"/>
    <mergeCell ref="A30:A35"/>
    <mergeCell ref="B30:C30"/>
    <mergeCell ref="B31:B35"/>
    <mergeCell ref="C31:C35"/>
    <mergeCell ref="A14:A24"/>
    <mergeCell ref="B14:C14"/>
    <mergeCell ref="B15:B19"/>
    <mergeCell ref="C15:C19"/>
    <mergeCell ref="B20:B24"/>
    <mergeCell ref="C20:C24"/>
    <mergeCell ref="M4:M5"/>
    <mergeCell ref="A7:A13"/>
    <mergeCell ref="B7:C7"/>
    <mergeCell ref="B8:B13"/>
    <mergeCell ref="C8:C13"/>
    <mergeCell ref="A1:O1"/>
    <mergeCell ref="N2:O2"/>
    <mergeCell ref="A3:A5"/>
    <mergeCell ref="B3:B5"/>
    <mergeCell ref="C3:C5"/>
    <mergeCell ref="D3:D5"/>
    <mergeCell ref="E3:E5"/>
    <mergeCell ref="F3:F5"/>
    <mergeCell ref="G3:G5"/>
    <mergeCell ref="H3:H5"/>
    <mergeCell ref="I3:M3"/>
    <mergeCell ref="N3:N5"/>
    <mergeCell ref="O3:O5"/>
    <mergeCell ref="I4:I5"/>
    <mergeCell ref="J4:K4"/>
    <mergeCell ref="L4:L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3" orientation="landscape" horizontalDpi="4294967295" verticalDpi="4294967295" r:id="rId1"/>
  <headerFooter>
    <oddFooter>Strona &amp;P z &amp;N</oddFooter>
  </headerFooter>
  <rowBreaks count="3" manualBreakCount="3">
    <brk id="35" max="14" man="1"/>
    <brk id="65" max="14" man="1"/>
    <brk id="10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79"/>
  <sheetViews>
    <sheetView view="pageBreakPreview" zoomScale="80" zoomScaleNormal="100" zoomScaleSheetLayoutView="80" workbookViewId="0">
      <pane ySplit="6" topLeftCell="A7" activePane="bottomLeft" state="frozen"/>
      <selection activeCell="O75" sqref="O75"/>
      <selection pane="bottomLeft" activeCell="A2" sqref="A2:L2"/>
    </sheetView>
  </sheetViews>
  <sheetFormatPr defaultRowHeight="14.25"/>
  <cols>
    <col min="1" max="1" width="6.140625" style="83" bestFit="1" customWidth="1"/>
    <col min="2" max="2" width="10.140625" style="83" bestFit="1" customWidth="1"/>
    <col min="3" max="3" width="41.7109375" style="82" customWidth="1"/>
    <col min="4" max="4" width="10.28515625" style="82" bestFit="1" customWidth="1"/>
    <col min="5" max="5" width="17" style="81" customWidth="1"/>
    <col min="6" max="6" width="17.7109375" style="81" customWidth="1"/>
    <col min="7" max="7" width="10.28515625" style="81" bestFit="1" customWidth="1"/>
    <col min="8" max="8" width="16.85546875" style="81" customWidth="1"/>
    <col min="9" max="9" width="16.140625" style="81" customWidth="1"/>
    <col min="10" max="10" width="17.42578125" style="81" customWidth="1"/>
    <col min="11" max="11" width="17" style="81" customWidth="1"/>
    <col min="12" max="12" width="40.5703125" style="81" customWidth="1"/>
    <col min="13" max="13" width="9.140625" style="79" customWidth="1"/>
    <col min="14" max="14" width="30.140625" style="79" customWidth="1"/>
    <col min="15" max="260" width="9.140625" style="79"/>
    <col min="261" max="261" width="7.140625" style="79" customWidth="1"/>
    <col min="262" max="262" width="11" style="79" customWidth="1"/>
    <col min="263" max="263" width="16.140625" style="79" customWidth="1"/>
    <col min="264" max="265" width="13.85546875" style="79" customWidth="1"/>
    <col min="266" max="266" width="18.42578125" style="79" customWidth="1"/>
    <col min="267" max="267" width="16.42578125" style="79" customWidth="1"/>
    <col min="268" max="268" width="44.7109375" style="79" customWidth="1"/>
    <col min="269" max="516" width="9.140625" style="79"/>
    <col min="517" max="517" width="7.140625" style="79" customWidth="1"/>
    <col min="518" max="518" width="11" style="79" customWidth="1"/>
    <col min="519" max="519" width="16.140625" style="79" customWidth="1"/>
    <col min="520" max="521" width="13.85546875" style="79" customWidth="1"/>
    <col min="522" max="522" width="18.42578125" style="79" customWidth="1"/>
    <col min="523" max="523" width="16.42578125" style="79" customWidth="1"/>
    <col min="524" max="524" width="44.7109375" style="79" customWidth="1"/>
    <col min="525" max="772" width="9.140625" style="79"/>
    <col min="773" max="773" width="7.140625" style="79" customWidth="1"/>
    <col min="774" max="774" width="11" style="79" customWidth="1"/>
    <col min="775" max="775" width="16.140625" style="79" customWidth="1"/>
    <col min="776" max="777" width="13.85546875" style="79" customWidth="1"/>
    <col min="778" max="778" width="18.42578125" style="79" customWidth="1"/>
    <col min="779" max="779" width="16.42578125" style="79" customWidth="1"/>
    <col min="780" max="780" width="44.7109375" style="79" customWidth="1"/>
    <col min="781" max="1028" width="9.140625" style="79"/>
    <col min="1029" max="1029" width="7.140625" style="79" customWidth="1"/>
    <col min="1030" max="1030" width="11" style="79" customWidth="1"/>
    <col min="1031" max="1031" width="16.140625" style="79" customWidth="1"/>
    <col min="1032" max="1033" width="13.85546875" style="79" customWidth="1"/>
    <col min="1034" max="1034" width="18.42578125" style="79" customWidth="1"/>
    <col min="1035" max="1035" width="16.42578125" style="79" customWidth="1"/>
    <col min="1036" max="1036" width="44.7109375" style="79" customWidth="1"/>
    <col min="1037" max="1284" width="9.140625" style="79"/>
    <col min="1285" max="1285" width="7.140625" style="79" customWidth="1"/>
    <col min="1286" max="1286" width="11" style="79" customWidth="1"/>
    <col min="1287" max="1287" width="16.140625" style="79" customWidth="1"/>
    <col min="1288" max="1289" width="13.85546875" style="79" customWidth="1"/>
    <col min="1290" max="1290" width="18.42578125" style="79" customWidth="1"/>
    <col min="1291" max="1291" width="16.42578125" style="79" customWidth="1"/>
    <col min="1292" max="1292" width="44.7109375" style="79" customWidth="1"/>
    <col min="1293" max="1540" width="9.140625" style="79"/>
    <col min="1541" max="1541" width="7.140625" style="79" customWidth="1"/>
    <col min="1542" max="1542" width="11" style="79" customWidth="1"/>
    <col min="1543" max="1543" width="16.140625" style="79" customWidth="1"/>
    <col min="1544" max="1545" width="13.85546875" style="79" customWidth="1"/>
    <col min="1546" max="1546" width="18.42578125" style="79" customWidth="1"/>
    <col min="1547" max="1547" width="16.42578125" style="79" customWidth="1"/>
    <col min="1548" max="1548" width="44.7109375" style="79" customWidth="1"/>
    <col min="1549" max="1796" width="9.140625" style="79"/>
    <col min="1797" max="1797" width="7.140625" style="79" customWidth="1"/>
    <col min="1798" max="1798" width="11" style="79" customWidth="1"/>
    <col min="1799" max="1799" width="16.140625" style="79" customWidth="1"/>
    <col min="1800" max="1801" width="13.85546875" style="79" customWidth="1"/>
    <col min="1802" max="1802" width="18.42578125" style="79" customWidth="1"/>
    <col min="1803" max="1803" width="16.42578125" style="79" customWidth="1"/>
    <col min="1804" max="1804" width="44.7109375" style="79" customWidth="1"/>
    <col min="1805" max="2052" width="9.140625" style="79"/>
    <col min="2053" max="2053" width="7.140625" style="79" customWidth="1"/>
    <col min="2054" max="2054" width="11" style="79" customWidth="1"/>
    <col min="2055" max="2055" width="16.140625" style="79" customWidth="1"/>
    <col min="2056" max="2057" width="13.85546875" style="79" customWidth="1"/>
    <col min="2058" max="2058" width="18.42578125" style="79" customWidth="1"/>
    <col min="2059" max="2059" width="16.42578125" style="79" customWidth="1"/>
    <col min="2060" max="2060" width="44.7109375" style="79" customWidth="1"/>
    <col min="2061" max="2308" width="9.140625" style="79"/>
    <col min="2309" max="2309" width="7.140625" style="79" customWidth="1"/>
    <col min="2310" max="2310" width="11" style="79" customWidth="1"/>
    <col min="2311" max="2311" width="16.140625" style="79" customWidth="1"/>
    <col min="2312" max="2313" width="13.85546875" style="79" customWidth="1"/>
    <col min="2314" max="2314" width="18.42578125" style="79" customWidth="1"/>
    <col min="2315" max="2315" width="16.42578125" style="79" customWidth="1"/>
    <col min="2316" max="2316" width="44.7109375" style="79" customWidth="1"/>
    <col min="2317" max="2564" width="9.140625" style="79"/>
    <col min="2565" max="2565" width="7.140625" style="79" customWidth="1"/>
    <col min="2566" max="2566" width="11" style="79" customWidth="1"/>
    <col min="2567" max="2567" width="16.140625" style="79" customWidth="1"/>
    <col min="2568" max="2569" width="13.85546875" style="79" customWidth="1"/>
    <col min="2570" max="2570" width="18.42578125" style="79" customWidth="1"/>
    <col min="2571" max="2571" width="16.42578125" style="79" customWidth="1"/>
    <col min="2572" max="2572" width="44.7109375" style="79" customWidth="1"/>
    <col min="2573" max="2820" width="9.140625" style="79"/>
    <col min="2821" max="2821" width="7.140625" style="79" customWidth="1"/>
    <col min="2822" max="2822" width="11" style="79" customWidth="1"/>
    <col min="2823" max="2823" width="16.140625" style="79" customWidth="1"/>
    <col min="2824" max="2825" width="13.85546875" style="79" customWidth="1"/>
    <col min="2826" max="2826" width="18.42578125" style="79" customWidth="1"/>
    <col min="2827" max="2827" width="16.42578125" style="79" customWidth="1"/>
    <col min="2828" max="2828" width="44.7109375" style="79" customWidth="1"/>
    <col min="2829" max="3076" width="9.140625" style="79"/>
    <col min="3077" max="3077" width="7.140625" style="79" customWidth="1"/>
    <col min="3078" max="3078" width="11" style="79" customWidth="1"/>
    <col min="3079" max="3079" width="16.140625" style="79" customWidth="1"/>
    <col min="3080" max="3081" width="13.85546875" style="79" customWidth="1"/>
    <col min="3082" max="3082" width="18.42578125" style="79" customWidth="1"/>
    <col min="3083" max="3083" width="16.42578125" style="79" customWidth="1"/>
    <col min="3084" max="3084" width="44.7109375" style="79" customWidth="1"/>
    <col min="3085" max="3332" width="9.140625" style="79"/>
    <col min="3333" max="3333" width="7.140625" style="79" customWidth="1"/>
    <col min="3334" max="3334" width="11" style="79" customWidth="1"/>
    <col min="3335" max="3335" width="16.140625" style="79" customWidth="1"/>
    <col min="3336" max="3337" width="13.85546875" style="79" customWidth="1"/>
    <col min="3338" max="3338" width="18.42578125" style="79" customWidth="1"/>
    <col min="3339" max="3339" width="16.42578125" style="79" customWidth="1"/>
    <col min="3340" max="3340" width="44.7109375" style="79" customWidth="1"/>
    <col min="3341" max="3588" width="9.140625" style="79"/>
    <col min="3589" max="3589" width="7.140625" style="79" customWidth="1"/>
    <col min="3590" max="3590" width="11" style="79" customWidth="1"/>
    <col min="3591" max="3591" width="16.140625" style="79" customWidth="1"/>
    <col min="3592" max="3593" width="13.85546875" style="79" customWidth="1"/>
    <col min="3594" max="3594" width="18.42578125" style="79" customWidth="1"/>
    <col min="3595" max="3595" width="16.42578125" style="79" customWidth="1"/>
    <col min="3596" max="3596" width="44.7109375" style="79" customWidth="1"/>
    <col min="3597" max="3844" width="9.140625" style="79"/>
    <col min="3845" max="3845" width="7.140625" style="79" customWidth="1"/>
    <col min="3846" max="3846" width="11" style="79" customWidth="1"/>
    <col min="3847" max="3847" width="16.140625" style="79" customWidth="1"/>
    <col min="3848" max="3849" width="13.85546875" style="79" customWidth="1"/>
    <col min="3850" max="3850" width="18.42578125" style="79" customWidth="1"/>
    <col min="3851" max="3851" width="16.42578125" style="79" customWidth="1"/>
    <col min="3852" max="3852" width="44.7109375" style="79" customWidth="1"/>
    <col min="3853" max="4100" width="9.140625" style="79"/>
    <col min="4101" max="4101" width="7.140625" style="79" customWidth="1"/>
    <col min="4102" max="4102" width="11" style="79" customWidth="1"/>
    <col min="4103" max="4103" width="16.140625" style="79" customWidth="1"/>
    <col min="4104" max="4105" width="13.85546875" style="79" customWidth="1"/>
    <col min="4106" max="4106" width="18.42578125" style="79" customWidth="1"/>
    <col min="4107" max="4107" width="16.42578125" style="79" customWidth="1"/>
    <col min="4108" max="4108" width="44.7109375" style="79" customWidth="1"/>
    <col min="4109" max="4356" width="9.140625" style="79"/>
    <col min="4357" max="4357" width="7.140625" style="79" customWidth="1"/>
    <col min="4358" max="4358" width="11" style="79" customWidth="1"/>
    <col min="4359" max="4359" width="16.140625" style="79" customWidth="1"/>
    <col min="4360" max="4361" width="13.85546875" style="79" customWidth="1"/>
    <col min="4362" max="4362" width="18.42578125" style="79" customWidth="1"/>
    <col min="4363" max="4363" width="16.42578125" style="79" customWidth="1"/>
    <col min="4364" max="4364" width="44.7109375" style="79" customWidth="1"/>
    <col min="4365" max="4612" width="9.140625" style="79"/>
    <col min="4613" max="4613" width="7.140625" style="79" customWidth="1"/>
    <col min="4614" max="4614" width="11" style="79" customWidth="1"/>
    <col min="4615" max="4615" width="16.140625" style="79" customWidth="1"/>
    <col min="4616" max="4617" width="13.85546875" style="79" customWidth="1"/>
    <col min="4618" max="4618" width="18.42578125" style="79" customWidth="1"/>
    <col min="4619" max="4619" width="16.42578125" style="79" customWidth="1"/>
    <col min="4620" max="4620" width="44.7109375" style="79" customWidth="1"/>
    <col min="4621" max="4868" width="9.140625" style="79"/>
    <col min="4869" max="4869" width="7.140625" style="79" customWidth="1"/>
    <col min="4870" max="4870" width="11" style="79" customWidth="1"/>
    <col min="4871" max="4871" width="16.140625" style="79" customWidth="1"/>
    <col min="4872" max="4873" width="13.85546875" style="79" customWidth="1"/>
    <col min="4874" max="4874" width="18.42578125" style="79" customWidth="1"/>
    <col min="4875" max="4875" width="16.42578125" style="79" customWidth="1"/>
    <col min="4876" max="4876" width="44.7109375" style="79" customWidth="1"/>
    <col min="4877" max="5124" width="9.140625" style="79"/>
    <col min="5125" max="5125" width="7.140625" style="79" customWidth="1"/>
    <col min="5126" max="5126" width="11" style="79" customWidth="1"/>
    <col min="5127" max="5127" width="16.140625" style="79" customWidth="1"/>
    <col min="5128" max="5129" width="13.85546875" style="79" customWidth="1"/>
    <col min="5130" max="5130" width="18.42578125" style="79" customWidth="1"/>
    <col min="5131" max="5131" width="16.42578125" style="79" customWidth="1"/>
    <col min="5132" max="5132" width="44.7109375" style="79" customWidth="1"/>
    <col min="5133" max="5380" width="9.140625" style="79"/>
    <col min="5381" max="5381" width="7.140625" style="79" customWidth="1"/>
    <col min="5382" max="5382" width="11" style="79" customWidth="1"/>
    <col min="5383" max="5383" width="16.140625" style="79" customWidth="1"/>
    <col min="5384" max="5385" width="13.85546875" style="79" customWidth="1"/>
    <col min="5386" max="5386" width="18.42578125" style="79" customWidth="1"/>
    <col min="5387" max="5387" width="16.42578125" style="79" customWidth="1"/>
    <col min="5388" max="5388" width="44.7109375" style="79" customWidth="1"/>
    <col min="5389" max="5636" width="9.140625" style="79"/>
    <col min="5637" max="5637" width="7.140625" style="79" customWidth="1"/>
    <col min="5638" max="5638" width="11" style="79" customWidth="1"/>
    <col min="5639" max="5639" width="16.140625" style="79" customWidth="1"/>
    <col min="5640" max="5641" width="13.85546875" style="79" customWidth="1"/>
    <col min="5642" max="5642" width="18.42578125" style="79" customWidth="1"/>
    <col min="5643" max="5643" width="16.42578125" style="79" customWidth="1"/>
    <col min="5644" max="5644" width="44.7109375" style="79" customWidth="1"/>
    <col min="5645" max="5892" width="9.140625" style="79"/>
    <col min="5893" max="5893" width="7.140625" style="79" customWidth="1"/>
    <col min="5894" max="5894" width="11" style="79" customWidth="1"/>
    <col min="5895" max="5895" width="16.140625" style="79" customWidth="1"/>
    <col min="5896" max="5897" width="13.85546875" style="79" customWidth="1"/>
    <col min="5898" max="5898" width="18.42578125" style="79" customWidth="1"/>
    <col min="5899" max="5899" width="16.42578125" style="79" customWidth="1"/>
    <col min="5900" max="5900" width="44.7109375" style="79" customWidth="1"/>
    <col min="5901" max="6148" width="9.140625" style="79"/>
    <col min="6149" max="6149" width="7.140625" style="79" customWidth="1"/>
    <col min="6150" max="6150" width="11" style="79" customWidth="1"/>
    <col min="6151" max="6151" width="16.140625" style="79" customWidth="1"/>
    <col min="6152" max="6153" width="13.85546875" style="79" customWidth="1"/>
    <col min="6154" max="6154" width="18.42578125" style="79" customWidth="1"/>
    <col min="6155" max="6155" width="16.42578125" style="79" customWidth="1"/>
    <col min="6156" max="6156" width="44.7109375" style="79" customWidth="1"/>
    <col min="6157" max="6404" width="9.140625" style="79"/>
    <col min="6405" max="6405" width="7.140625" style="79" customWidth="1"/>
    <col min="6406" max="6406" width="11" style="79" customWidth="1"/>
    <col min="6407" max="6407" width="16.140625" style="79" customWidth="1"/>
    <col min="6408" max="6409" width="13.85546875" style="79" customWidth="1"/>
    <col min="6410" max="6410" width="18.42578125" style="79" customWidth="1"/>
    <col min="6411" max="6411" width="16.42578125" style="79" customWidth="1"/>
    <col min="6412" max="6412" width="44.7109375" style="79" customWidth="1"/>
    <col min="6413" max="6660" width="9.140625" style="79"/>
    <col min="6661" max="6661" width="7.140625" style="79" customWidth="1"/>
    <col min="6662" max="6662" width="11" style="79" customWidth="1"/>
    <col min="6663" max="6663" width="16.140625" style="79" customWidth="1"/>
    <col min="6664" max="6665" width="13.85546875" style="79" customWidth="1"/>
    <col min="6666" max="6666" width="18.42578125" style="79" customWidth="1"/>
    <col min="6667" max="6667" width="16.42578125" style="79" customWidth="1"/>
    <col min="6668" max="6668" width="44.7109375" style="79" customWidth="1"/>
    <col min="6669" max="6916" width="9.140625" style="79"/>
    <col min="6917" max="6917" width="7.140625" style="79" customWidth="1"/>
    <col min="6918" max="6918" width="11" style="79" customWidth="1"/>
    <col min="6919" max="6919" width="16.140625" style="79" customWidth="1"/>
    <col min="6920" max="6921" width="13.85546875" style="79" customWidth="1"/>
    <col min="6922" max="6922" width="18.42578125" style="79" customWidth="1"/>
    <col min="6923" max="6923" width="16.42578125" style="79" customWidth="1"/>
    <col min="6924" max="6924" width="44.7109375" style="79" customWidth="1"/>
    <col min="6925" max="7172" width="9.140625" style="79"/>
    <col min="7173" max="7173" width="7.140625" style="79" customWidth="1"/>
    <col min="7174" max="7174" width="11" style="79" customWidth="1"/>
    <col min="7175" max="7175" width="16.140625" style="79" customWidth="1"/>
    <col min="7176" max="7177" width="13.85546875" style="79" customWidth="1"/>
    <col min="7178" max="7178" width="18.42578125" style="79" customWidth="1"/>
    <col min="7179" max="7179" width="16.42578125" style="79" customWidth="1"/>
    <col min="7180" max="7180" width="44.7109375" style="79" customWidth="1"/>
    <col min="7181" max="7428" width="9.140625" style="79"/>
    <col min="7429" max="7429" width="7.140625" style="79" customWidth="1"/>
    <col min="7430" max="7430" width="11" style="79" customWidth="1"/>
    <col min="7431" max="7431" width="16.140625" style="79" customWidth="1"/>
    <col min="7432" max="7433" width="13.85546875" style="79" customWidth="1"/>
    <col min="7434" max="7434" width="18.42578125" style="79" customWidth="1"/>
    <col min="7435" max="7435" width="16.42578125" style="79" customWidth="1"/>
    <col min="7436" max="7436" width="44.7109375" style="79" customWidth="1"/>
    <col min="7437" max="7684" width="9.140625" style="79"/>
    <col min="7685" max="7685" width="7.140625" style="79" customWidth="1"/>
    <col min="7686" max="7686" width="11" style="79" customWidth="1"/>
    <col min="7687" max="7687" width="16.140625" style="79" customWidth="1"/>
    <col min="7688" max="7689" width="13.85546875" style="79" customWidth="1"/>
    <col min="7690" max="7690" width="18.42578125" style="79" customWidth="1"/>
    <col min="7691" max="7691" width="16.42578125" style="79" customWidth="1"/>
    <col min="7692" max="7692" width="44.7109375" style="79" customWidth="1"/>
    <col min="7693" max="7940" width="9.140625" style="79"/>
    <col min="7941" max="7941" width="7.140625" style="79" customWidth="1"/>
    <col min="7942" max="7942" width="11" style="79" customWidth="1"/>
    <col min="7943" max="7943" width="16.140625" style="79" customWidth="1"/>
    <col min="7944" max="7945" width="13.85546875" style="79" customWidth="1"/>
    <col min="7946" max="7946" width="18.42578125" style="79" customWidth="1"/>
    <col min="7947" max="7947" width="16.42578125" style="79" customWidth="1"/>
    <col min="7948" max="7948" width="44.7109375" style="79" customWidth="1"/>
    <col min="7949" max="8196" width="9.140625" style="79"/>
    <col min="8197" max="8197" width="7.140625" style="79" customWidth="1"/>
    <col min="8198" max="8198" width="11" style="79" customWidth="1"/>
    <col min="8199" max="8199" width="16.140625" style="79" customWidth="1"/>
    <col min="8200" max="8201" width="13.85546875" style="79" customWidth="1"/>
    <col min="8202" max="8202" width="18.42578125" style="79" customWidth="1"/>
    <col min="8203" max="8203" width="16.42578125" style="79" customWidth="1"/>
    <col min="8204" max="8204" width="44.7109375" style="79" customWidth="1"/>
    <col min="8205" max="8452" width="9.140625" style="79"/>
    <col min="8453" max="8453" width="7.140625" style="79" customWidth="1"/>
    <col min="8454" max="8454" width="11" style="79" customWidth="1"/>
    <col min="8455" max="8455" width="16.140625" style="79" customWidth="1"/>
    <col min="8456" max="8457" width="13.85546875" style="79" customWidth="1"/>
    <col min="8458" max="8458" width="18.42578125" style="79" customWidth="1"/>
    <col min="8459" max="8459" width="16.42578125" style="79" customWidth="1"/>
    <col min="8460" max="8460" width="44.7109375" style="79" customWidth="1"/>
    <col min="8461" max="8708" width="9.140625" style="79"/>
    <col min="8709" max="8709" width="7.140625" style="79" customWidth="1"/>
    <col min="8710" max="8710" width="11" style="79" customWidth="1"/>
    <col min="8711" max="8711" width="16.140625" style="79" customWidth="1"/>
    <col min="8712" max="8713" width="13.85546875" style="79" customWidth="1"/>
    <col min="8714" max="8714" width="18.42578125" style="79" customWidth="1"/>
    <col min="8715" max="8715" width="16.42578125" style="79" customWidth="1"/>
    <col min="8716" max="8716" width="44.7109375" style="79" customWidth="1"/>
    <col min="8717" max="8964" width="9.140625" style="79"/>
    <col min="8965" max="8965" width="7.140625" style="79" customWidth="1"/>
    <col min="8966" max="8966" width="11" style="79" customWidth="1"/>
    <col min="8967" max="8967" width="16.140625" style="79" customWidth="1"/>
    <col min="8968" max="8969" width="13.85546875" style="79" customWidth="1"/>
    <col min="8970" max="8970" width="18.42578125" style="79" customWidth="1"/>
    <col min="8971" max="8971" width="16.42578125" style="79" customWidth="1"/>
    <col min="8972" max="8972" width="44.7109375" style="79" customWidth="1"/>
    <col min="8973" max="9220" width="9.140625" style="79"/>
    <col min="9221" max="9221" width="7.140625" style="79" customWidth="1"/>
    <col min="9222" max="9222" width="11" style="79" customWidth="1"/>
    <col min="9223" max="9223" width="16.140625" style="79" customWidth="1"/>
    <col min="9224" max="9225" width="13.85546875" style="79" customWidth="1"/>
    <col min="9226" max="9226" width="18.42578125" style="79" customWidth="1"/>
    <col min="9227" max="9227" width="16.42578125" style="79" customWidth="1"/>
    <col min="9228" max="9228" width="44.7109375" style="79" customWidth="1"/>
    <col min="9229" max="9476" width="9.140625" style="79"/>
    <col min="9477" max="9477" width="7.140625" style="79" customWidth="1"/>
    <col min="9478" max="9478" width="11" style="79" customWidth="1"/>
    <col min="9479" max="9479" width="16.140625" style="79" customWidth="1"/>
    <col min="9480" max="9481" width="13.85546875" style="79" customWidth="1"/>
    <col min="9482" max="9482" width="18.42578125" style="79" customWidth="1"/>
    <col min="9483" max="9483" width="16.42578125" style="79" customWidth="1"/>
    <col min="9484" max="9484" width="44.7109375" style="79" customWidth="1"/>
    <col min="9485" max="9732" width="9.140625" style="79"/>
    <col min="9733" max="9733" width="7.140625" style="79" customWidth="1"/>
    <col min="9734" max="9734" width="11" style="79" customWidth="1"/>
    <col min="9735" max="9735" width="16.140625" style="79" customWidth="1"/>
    <col min="9736" max="9737" width="13.85546875" style="79" customWidth="1"/>
    <col min="9738" max="9738" width="18.42578125" style="79" customWidth="1"/>
    <col min="9739" max="9739" width="16.42578125" style="79" customWidth="1"/>
    <col min="9740" max="9740" width="44.7109375" style="79" customWidth="1"/>
    <col min="9741" max="9988" width="9.140625" style="79"/>
    <col min="9989" max="9989" width="7.140625" style="79" customWidth="1"/>
    <col min="9990" max="9990" width="11" style="79" customWidth="1"/>
    <col min="9991" max="9991" width="16.140625" style="79" customWidth="1"/>
    <col min="9992" max="9993" width="13.85546875" style="79" customWidth="1"/>
    <col min="9994" max="9994" width="18.42578125" style="79" customWidth="1"/>
    <col min="9995" max="9995" width="16.42578125" style="79" customWidth="1"/>
    <col min="9996" max="9996" width="44.7109375" style="79" customWidth="1"/>
    <col min="9997" max="10244" width="9.140625" style="79"/>
    <col min="10245" max="10245" width="7.140625" style="79" customWidth="1"/>
    <col min="10246" max="10246" width="11" style="79" customWidth="1"/>
    <col min="10247" max="10247" width="16.140625" style="79" customWidth="1"/>
    <col min="10248" max="10249" width="13.85546875" style="79" customWidth="1"/>
    <col min="10250" max="10250" width="18.42578125" style="79" customWidth="1"/>
    <col min="10251" max="10251" width="16.42578125" style="79" customWidth="1"/>
    <col min="10252" max="10252" width="44.7109375" style="79" customWidth="1"/>
    <col min="10253" max="10500" width="9.140625" style="79"/>
    <col min="10501" max="10501" width="7.140625" style="79" customWidth="1"/>
    <col min="10502" max="10502" width="11" style="79" customWidth="1"/>
    <col min="10503" max="10503" width="16.140625" style="79" customWidth="1"/>
    <col min="10504" max="10505" width="13.85546875" style="79" customWidth="1"/>
    <col min="10506" max="10506" width="18.42578125" style="79" customWidth="1"/>
    <col min="10507" max="10507" width="16.42578125" style="79" customWidth="1"/>
    <col min="10508" max="10508" width="44.7109375" style="79" customWidth="1"/>
    <col min="10509" max="10756" width="9.140625" style="79"/>
    <col min="10757" max="10757" width="7.140625" style="79" customWidth="1"/>
    <col min="10758" max="10758" width="11" style="79" customWidth="1"/>
    <col min="10759" max="10759" width="16.140625" style="79" customWidth="1"/>
    <col min="10760" max="10761" width="13.85546875" style="79" customWidth="1"/>
    <col min="10762" max="10762" width="18.42578125" style="79" customWidth="1"/>
    <col min="10763" max="10763" width="16.42578125" style="79" customWidth="1"/>
    <col min="10764" max="10764" width="44.7109375" style="79" customWidth="1"/>
    <col min="10765" max="11012" width="9.140625" style="79"/>
    <col min="11013" max="11013" width="7.140625" style="79" customWidth="1"/>
    <col min="11014" max="11014" width="11" style="79" customWidth="1"/>
    <col min="11015" max="11015" width="16.140625" style="79" customWidth="1"/>
    <col min="11016" max="11017" width="13.85546875" style="79" customWidth="1"/>
    <col min="11018" max="11018" width="18.42578125" style="79" customWidth="1"/>
    <col min="11019" max="11019" width="16.42578125" style="79" customWidth="1"/>
    <col min="11020" max="11020" width="44.7109375" style="79" customWidth="1"/>
    <col min="11021" max="11268" width="9.140625" style="79"/>
    <col min="11269" max="11269" width="7.140625" style="79" customWidth="1"/>
    <col min="11270" max="11270" width="11" style="79" customWidth="1"/>
    <col min="11271" max="11271" width="16.140625" style="79" customWidth="1"/>
    <col min="11272" max="11273" width="13.85546875" style="79" customWidth="1"/>
    <col min="11274" max="11274" width="18.42578125" style="79" customWidth="1"/>
    <col min="11275" max="11275" width="16.42578125" style="79" customWidth="1"/>
    <col min="11276" max="11276" width="44.7109375" style="79" customWidth="1"/>
    <col min="11277" max="11524" width="9.140625" style="79"/>
    <col min="11525" max="11525" width="7.140625" style="79" customWidth="1"/>
    <col min="11526" max="11526" width="11" style="79" customWidth="1"/>
    <col min="11527" max="11527" width="16.140625" style="79" customWidth="1"/>
    <col min="11528" max="11529" width="13.85546875" style="79" customWidth="1"/>
    <col min="11530" max="11530" width="18.42578125" style="79" customWidth="1"/>
    <col min="11531" max="11531" width="16.42578125" style="79" customWidth="1"/>
    <col min="11532" max="11532" width="44.7109375" style="79" customWidth="1"/>
    <col min="11533" max="11780" width="9.140625" style="79"/>
    <col min="11781" max="11781" width="7.140625" style="79" customWidth="1"/>
    <col min="11782" max="11782" width="11" style="79" customWidth="1"/>
    <col min="11783" max="11783" width="16.140625" style="79" customWidth="1"/>
    <col min="11784" max="11785" width="13.85546875" style="79" customWidth="1"/>
    <col min="11786" max="11786" width="18.42578125" style="79" customWidth="1"/>
    <col min="11787" max="11787" width="16.42578125" style="79" customWidth="1"/>
    <col min="11788" max="11788" width="44.7109375" style="79" customWidth="1"/>
    <col min="11789" max="12036" width="9.140625" style="79"/>
    <col min="12037" max="12037" width="7.140625" style="79" customWidth="1"/>
    <col min="12038" max="12038" width="11" style="79" customWidth="1"/>
    <col min="12039" max="12039" width="16.140625" style="79" customWidth="1"/>
    <col min="12040" max="12041" width="13.85546875" style="79" customWidth="1"/>
    <col min="12042" max="12042" width="18.42578125" style="79" customWidth="1"/>
    <col min="12043" max="12043" width="16.42578125" style="79" customWidth="1"/>
    <col min="12044" max="12044" width="44.7109375" style="79" customWidth="1"/>
    <col min="12045" max="12292" width="9.140625" style="79"/>
    <col min="12293" max="12293" width="7.140625" style="79" customWidth="1"/>
    <col min="12294" max="12294" width="11" style="79" customWidth="1"/>
    <col min="12295" max="12295" width="16.140625" style="79" customWidth="1"/>
    <col min="12296" max="12297" width="13.85546875" style="79" customWidth="1"/>
    <col min="12298" max="12298" width="18.42578125" style="79" customWidth="1"/>
    <col min="12299" max="12299" width="16.42578125" style="79" customWidth="1"/>
    <col min="12300" max="12300" width="44.7109375" style="79" customWidth="1"/>
    <col min="12301" max="12548" width="9.140625" style="79"/>
    <col min="12549" max="12549" width="7.140625" style="79" customWidth="1"/>
    <col min="12550" max="12550" width="11" style="79" customWidth="1"/>
    <col min="12551" max="12551" width="16.140625" style="79" customWidth="1"/>
    <col min="12552" max="12553" width="13.85546875" style="79" customWidth="1"/>
    <col min="12554" max="12554" width="18.42578125" style="79" customWidth="1"/>
    <col min="12555" max="12555" width="16.42578125" style="79" customWidth="1"/>
    <col min="12556" max="12556" width="44.7109375" style="79" customWidth="1"/>
    <col min="12557" max="12804" width="9.140625" style="79"/>
    <col min="12805" max="12805" width="7.140625" style="79" customWidth="1"/>
    <col min="12806" max="12806" width="11" style="79" customWidth="1"/>
    <col min="12807" max="12807" width="16.140625" style="79" customWidth="1"/>
    <col min="12808" max="12809" width="13.85546875" style="79" customWidth="1"/>
    <col min="12810" max="12810" width="18.42578125" style="79" customWidth="1"/>
    <col min="12811" max="12811" width="16.42578125" style="79" customWidth="1"/>
    <col min="12812" max="12812" width="44.7109375" style="79" customWidth="1"/>
    <col min="12813" max="13060" width="9.140625" style="79"/>
    <col min="13061" max="13061" width="7.140625" style="79" customWidth="1"/>
    <col min="13062" max="13062" width="11" style="79" customWidth="1"/>
    <col min="13063" max="13063" width="16.140625" style="79" customWidth="1"/>
    <col min="13064" max="13065" width="13.85546875" style="79" customWidth="1"/>
    <col min="13066" max="13066" width="18.42578125" style="79" customWidth="1"/>
    <col min="13067" max="13067" width="16.42578125" style="79" customWidth="1"/>
    <col min="13068" max="13068" width="44.7109375" style="79" customWidth="1"/>
    <col min="13069" max="13316" width="9.140625" style="79"/>
    <col min="13317" max="13317" width="7.140625" style="79" customWidth="1"/>
    <col min="13318" max="13318" width="11" style="79" customWidth="1"/>
    <col min="13319" max="13319" width="16.140625" style="79" customWidth="1"/>
    <col min="13320" max="13321" width="13.85546875" style="79" customWidth="1"/>
    <col min="13322" max="13322" width="18.42578125" style="79" customWidth="1"/>
    <col min="13323" max="13323" width="16.42578125" style="79" customWidth="1"/>
    <col min="13324" max="13324" width="44.7109375" style="79" customWidth="1"/>
    <col min="13325" max="13572" width="9.140625" style="79"/>
    <col min="13573" max="13573" width="7.140625" style="79" customWidth="1"/>
    <col min="13574" max="13574" width="11" style="79" customWidth="1"/>
    <col min="13575" max="13575" width="16.140625" style="79" customWidth="1"/>
    <col min="13576" max="13577" width="13.85546875" style="79" customWidth="1"/>
    <col min="13578" max="13578" width="18.42578125" style="79" customWidth="1"/>
    <col min="13579" max="13579" width="16.42578125" style="79" customWidth="1"/>
    <col min="13580" max="13580" width="44.7109375" style="79" customWidth="1"/>
    <col min="13581" max="13828" width="9.140625" style="79"/>
    <col min="13829" max="13829" width="7.140625" style="79" customWidth="1"/>
    <col min="13830" max="13830" width="11" style="79" customWidth="1"/>
    <col min="13831" max="13831" width="16.140625" style="79" customWidth="1"/>
    <col min="13832" max="13833" width="13.85546875" style="79" customWidth="1"/>
    <col min="13834" max="13834" width="18.42578125" style="79" customWidth="1"/>
    <col min="13835" max="13835" width="16.42578125" style="79" customWidth="1"/>
    <col min="13836" max="13836" width="44.7109375" style="79" customWidth="1"/>
    <col min="13837" max="14084" width="9.140625" style="79"/>
    <col min="14085" max="14085" width="7.140625" style="79" customWidth="1"/>
    <col min="14086" max="14086" width="11" style="79" customWidth="1"/>
    <col min="14087" max="14087" width="16.140625" style="79" customWidth="1"/>
    <col min="14088" max="14089" width="13.85546875" style="79" customWidth="1"/>
    <col min="14090" max="14090" width="18.42578125" style="79" customWidth="1"/>
    <col min="14091" max="14091" width="16.42578125" style="79" customWidth="1"/>
    <col min="14092" max="14092" width="44.7109375" style="79" customWidth="1"/>
    <col min="14093" max="14340" width="9.140625" style="79"/>
    <col min="14341" max="14341" width="7.140625" style="79" customWidth="1"/>
    <col min="14342" max="14342" width="11" style="79" customWidth="1"/>
    <col min="14343" max="14343" width="16.140625" style="79" customWidth="1"/>
    <col min="14344" max="14345" width="13.85546875" style="79" customWidth="1"/>
    <col min="14346" max="14346" width="18.42578125" style="79" customWidth="1"/>
    <col min="14347" max="14347" width="16.42578125" style="79" customWidth="1"/>
    <col min="14348" max="14348" width="44.7109375" style="79" customWidth="1"/>
    <col min="14349" max="14596" width="9.140625" style="79"/>
    <col min="14597" max="14597" width="7.140625" style="79" customWidth="1"/>
    <col min="14598" max="14598" width="11" style="79" customWidth="1"/>
    <col min="14599" max="14599" width="16.140625" style="79" customWidth="1"/>
    <col min="14600" max="14601" width="13.85546875" style="79" customWidth="1"/>
    <col min="14602" max="14602" width="18.42578125" style="79" customWidth="1"/>
    <col min="14603" max="14603" width="16.42578125" style="79" customWidth="1"/>
    <col min="14604" max="14604" width="44.7109375" style="79" customWidth="1"/>
    <col min="14605" max="14852" width="9.140625" style="79"/>
    <col min="14853" max="14853" width="7.140625" style="79" customWidth="1"/>
    <col min="14854" max="14854" width="11" style="79" customWidth="1"/>
    <col min="14855" max="14855" width="16.140625" style="79" customWidth="1"/>
    <col min="14856" max="14857" width="13.85546875" style="79" customWidth="1"/>
    <col min="14858" max="14858" width="18.42578125" style="79" customWidth="1"/>
    <col min="14859" max="14859" width="16.42578125" style="79" customWidth="1"/>
    <col min="14860" max="14860" width="44.7109375" style="79" customWidth="1"/>
    <col min="14861" max="15108" width="9.140625" style="79"/>
    <col min="15109" max="15109" width="7.140625" style="79" customWidth="1"/>
    <col min="15110" max="15110" width="11" style="79" customWidth="1"/>
    <col min="15111" max="15111" width="16.140625" style="79" customWidth="1"/>
    <col min="15112" max="15113" width="13.85546875" style="79" customWidth="1"/>
    <col min="15114" max="15114" width="18.42578125" style="79" customWidth="1"/>
    <col min="15115" max="15115" width="16.42578125" style="79" customWidth="1"/>
    <col min="15116" max="15116" width="44.7109375" style="79" customWidth="1"/>
    <col min="15117" max="15364" width="9.140625" style="79"/>
    <col min="15365" max="15365" width="7.140625" style="79" customWidth="1"/>
    <col min="15366" max="15366" width="11" style="79" customWidth="1"/>
    <col min="15367" max="15367" width="16.140625" style="79" customWidth="1"/>
    <col min="15368" max="15369" width="13.85546875" style="79" customWidth="1"/>
    <col min="15370" max="15370" width="18.42578125" style="79" customWidth="1"/>
    <col min="15371" max="15371" width="16.42578125" style="79" customWidth="1"/>
    <col min="15372" max="15372" width="44.7109375" style="79" customWidth="1"/>
    <col min="15373" max="15620" width="9.140625" style="79"/>
    <col min="15621" max="15621" width="7.140625" style="79" customWidth="1"/>
    <col min="15622" max="15622" width="11" style="79" customWidth="1"/>
    <col min="15623" max="15623" width="16.140625" style="79" customWidth="1"/>
    <col min="15624" max="15625" width="13.85546875" style="79" customWidth="1"/>
    <col min="15626" max="15626" width="18.42578125" style="79" customWidth="1"/>
    <col min="15627" max="15627" width="16.42578125" style="79" customWidth="1"/>
    <col min="15628" max="15628" width="44.7109375" style="79" customWidth="1"/>
    <col min="15629" max="15876" width="9.140625" style="79"/>
    <col min="15877" max="15877" width="7.140625" style="79" customWidth="1"/>
    <col min="15878" max="15878" width="11" style="79" customWidth="1"/>
    <col min="15879" max="15879" width="16.140625" style="79" customWidth="1"/>
    <col min="15880" max="15881" width="13.85546875" style="79" customWidth="1"/>
    <col min="15882" max="15882" width="18.42578125" style="79" customWidth="1"/>
    <col min="15883" max="15883" width="16.42578125" style="79" customWidth="1"/>
    <col min="15884" max="15884" width="44.7109375" style="79" customWidth="1"/>
    <col min="15885" max="16132" width="9.140625" style="79"/>
    <col min="16133" max="16133" width="7.140625" style="79" customWidth="1"/>
    <col min="16134" max="16134" width="11" style="79" customWidth="1"/>
    <col min="16135" max="16135" width="16.140625" style="79" customWidth="1"/>
    <col min="16136" max="16137" width="13.85546875" style="79" customWidth="1"/>
    <col min="16138" max="16138" width="18.42578125" style="79" customWidth="1"/>
    <col min="16139" max="16139" width="16.42578125" style="79" customWidth="1"/>
    <col min="16140" max="16140" width="44.7109375" style="79" customWidth="1"/>
    <col min="16141" max="16384" width="9.140625" style="79"/>
  </cols>
  <sheetData>
    <row r="1" spans="1:12" ht="7.5" customHeight="1"/>
    <row r="2" spans="1:12" ht="27.75" customHeight="1">
      <c r="A2" s="5448" t="s">
        <v>497</v>
      </c>
      <c r="B2" s="5448"/>
      <c r="C2" s="5448"/>
      <c r="D2" s="5448"/>
      <c r="E2" s="5448"/>
      <c r="F2" s="5448"/>
      <c r="G2" s="5448"/>
      <c r="H2" s="5448"/>
      <c r="I2" s="5448"/>
      <c r="J2" s="5448"/>
      <c r="K2" s="5448"/>
      <c r="L2" s="5448"/>
    </row>
    <row r="3" spans="1:12" ht="18" customHeight="1" thickBot="1">
      <c r="A3" s="5449"/>
      <c r="B3" s="5449"/>
      <c r="C3" s="1195"/>
      <c r="D3" s="1195"/>
      <c r="E3" s="1195"/>
      <c r="F3" s="1195"/>
      <c r="G3" s="1195"/>
      <c r="H3" s="1195"/>
      <c r="I3" s="1195"/>
      <c r="J3" s="1195"/>
      <c r="K3" s="1195"/>
      <c r="L3" s="1196" t="s">
        <v>0</v>
      </c>
    </row>
    <row r="4" spans="1:12" ht="15.75" customHeight="1" thickBot="1">
      <c r="A4" s="5450" t="s">
        <v>1</v>
      </c>
      <c r="B4" s="5451" t="s">
        <v>442</v>
      </c>
      <c r="C4" s="5454" t="s">
        <v>450</v>
      </c>
      <c r="D4" s="5457" t="s">
        <v>4</v>
      </c>
      <c r="E4" s="5458" t="s">
        <v>496</v>
      </c>
      <c r="F4" s="5459"/>
      <c r="G4" s="5462" t="s">
        <v>4</v>
      </c>
      <c r="H4" s="5457" t="s">
        <v>495</v>
      </c>
      <c r="I4" s="5457"/>
      <c r="J4" s="5457"/>
      <c r="K4" s="5463"/>
      <c r="L4" s="5464" t="s">
        <v>494</v>
      </c>
    </row>
    <row r="5" spans="1:12" ht="18" customHeight="1" thickBot="1">
      <c r="A5" s="5450"/>
      <c r="B5" s="5452"/>
      <c r="C5" s="5455"/>
      <c r="D5" s="5457"/>
      <c r="E5" s="5460"/>
      <c r="F5" s="5461"/>
      <c r="G5" s="5462"/>
      <c r="H5" s="5469" t="s">
        <v>492</v>
      </c>
      <c r="I5" s="5454" t="s">
        <v>491</v>
      </c>
      <c r="J5" s="5457" t="s">
        <v>493</v>
      </c>
      <c r="K5" s="5463"/>
      <c r="L5" s="5464"/>
    </row>
    <row r="6" spans="1:12" ht="30" customHeight="1" thickBot="1">
      <c r="A6" s="5450"/>
      <c r="B6" s="5453"/>
      <c r="C6" s="5456"/>
      <c r="D6" s="5457"/>
      <c r="E6" s="885" t="s">
        <v>492</v>
      </c>
      <c r="F6" s="886" t="s">
        <v>491</v>
      </c>
      <c r="G6" s="5462"/>
      <c r="H6" s="5470"/>
      <c r="I6" s="5456"/>
      <c r="J6" s="1213" t="s">
        <v>444</v>
      </c>
      <c r="K6" s="1212" t="s">
        <v>443</v>
      </c>
      <c r="L6" s="5464"/>
    </row>
    <row r="7" spans="1:12" s="85" customFormat="1" ht="30" customHeight="1" thickBot="1">
      <c r="A7" s="766" t="s">
        <v>17</v>
      </c>
      <c r="B7" s="1220"/>
      <c r="C7" s="1221" t="s">
        <v>490</v>
      </c>
      <c r="D7" s="1225"/>
      <c r="E7" s="770">
        <f>SUM(E8)</f>
        <v>12000000</v>
      </c>
      <c r="F7" s="771">
        <f>SUM(F8)</f>
        <v>18893410.119999997</v>
      </c>
      <c r="G7" s="770"/>
      <c r="H7" s="794">
        <f>SUM(H8)</f>
        <v>18930517</v>
      </c>
      <c r="I7" s="795">
        <f>SUM(I8)</f>
        <v>15655254.25</v>
      </c>
      <c r="J7" s="771">
        <f>SUM(J8)</f>
        <v>3794238.95</v>
      </c>
      <c r="K7" s="795">
        <f>SUM(K8)</f>
        <v>11861015.300000001</v>
      </c>
      <c r="L7" s="5465" t="s">
        <v>489</v>
      </c>
    </row>
    <row r="8" spans="1:12" s="86" customFormat="1" ht="27.75" customHeight="1">
      <c r="A8" s="5471"/>
      <c r="B8" s="773" t="s">
        <v>35</v>
      </c>
      <c r="C8" s="1222" t="s">
        <v>36</v>
      </c>
      <c r="D8" s="775"/>
      <c r="E8" s="776">
        <f>SUM(E9:E15)</f>
        <v>12000000</v>
      </c>
      <c r="F8" s="777">
        <f>SUM(F9:F15)</f>
        <v>18893410.119999997</v>
      </c>
      <c r="G8" s="773"/>
      <c r="H8" s="1215">
        <f>SUM(H9:H15)</f>
        <v>18930517</v>
      </c>
      <c r="I8" s="1216">
        <f>SUM(I9:I15)</f>
        <v>15655254.25</v>
      </c>
      <c r="J8" s="777">
        <f>SUM(J9:J15)</f>
        <v>3794238.95</v>
      </c>
      <c r="K8" s="1216">
        <f>SUM(K9:K15)</f>
        <v>11861015.300000001</v>
      </c>
      <c r="L8" s="5466"/>
    </row>
    <row r="9" spans="1:12" s="86" customFormat="1" ht="16.5" customHeight="1">
      <c r="A9" s="5471"/>
      <c r="B9" s="5472"/>
      <c r="C9" s="5474"/>
      <c r="D9" s="786" t="s">
        <v>38</v>
      </c>
      <c r="E9" s="1226">
        <v>12000000</v>
      </c>
      <c r="F9" s="1227">
        <v>18648306.559999999</v>
      </c>
      <c r="G9" s="801" t="s">
        <v>436</v>
      </c>
      <c r="H9" s="1026">
        <v>4300000</v>
      </c>
      <c r="I9" s="1027">
        <f t="shared" ref="I9:I15" si="0">J9+K9</f>
        <v>3659634.95</v>
      </c>
      <c r="J9" s="1223">
        <v>3659634.95</v>
      </c>
      <c r="K9" s="1224"/>
      <c r="L9" s="5466"/>
    </row>
    <row r="10" spans="1:12" s="86" customFormat="1" ht="16.5" customHeight="1">
      <c r="A10" s="5471"/>
      <c r="B10" s="5473"/>
      <c r="C10" s="5466"/>
      <c r="D10" s="1228" t="s">
        <v>40</v>
      </c>
      <c r="E10" s="1226"/>
      <c r="F10" s="1227">
        <v>244525.13</v>
      </c>
      <c r="G10" s="801" t="s">
        <v>253</v>
      </c>
      <c r="H10" s="1026">
        <v>50000</v>
      </c>
      <c r="I10" s="1027">
        <f t="shared" si="0"/>
        <v>18980</v>
      </c>
      <c r="J10" s="1223">
        <v>18980</v>
      </c>
      <c r="K10" s="1224"/>
      <c r="L10" s="5466"/>
    </row>
    <row r="11" spans="1:12" s="86" customFormat="1" ht="16.5" customHeight="1">
      <c r="A11" s="5471"/>
      <c r="B11" s="5473"/>
      <c r="C11" s="5466"/>
      <c r="D11" s="1228" t="s">
        <v>25</v>
      </c>
      <c r="E11" s="1226"/>
      <c r="F11" s="1227">
        <v>578.42999999999995</v>
      </c>
      <c r="G11" s="801" t="s">
        <v>313</v>
      </c>
      <c r="H11" s="1026">
        <v>105000</v>
      </c>
      <c r="I11" s="1027">
        <f t="shared" si="0"/>
        <v>104996.8</v>
      </c>
      <c r="J11" s="1223">
        <v>104996.8</v>
      </c>
      <c r="K11" s="1224"/>
      <c r="L11" s="5466"/>
    </row>
    <row r="12" spans="1:12" s="86" customFormat="1" ht="16.5" customHeight="1">
      <c r="A12" s="5471"/>
      <c r="B12" s="5473"/>
      <c r="C12" s="5466"/>
      <c r="D12" s="1228"/>
      <c r="E12" s="1226"/>
      <c r="F12" s="1227"/>
      <c r="G12" s="801" t="s">
        <v>312</v>
      </c>
      <c r="H12" s="1026">
        <v>30000</v>
      </c>
      <c r="I12" s="1027">
        <f t="shared" si="0"/>
        <v>10627.2</v>
      </c>
      <c r="J12" s="1223">
        <v>10627.2</v>
      </c>
      <c r="K12" s="1224"/>
      <c r="L12" s="5466"/>
    </row>
    <row r="13" spans="1:12" s="86" customFormat="1" ht="16.5" customHeight="1">
      <c r="A13" s="5471"/>
      <c r="B13" s="5473"/>
      <c r="C13" s="5466"/>
      <c r="D13" s="1228"/>
      <c r="E13" s="1226"/>
      <c r="F13" s="1227"/>
      <c r="G13" s="801" t="s">
        <v>354</v>
      </c>
      <c r="H13" s="1026">
        <v>425000</v>
      </c>
      <c r="I13" s="1027">
        <f t="shared" si="0"/>
        <v>408101.71</v>
      </c>
      <c r="J13" s="1223"/>
      <c r="K13" s="1224">
        <v>408101.71</v>
      </c>
      <c r="L13" s="5466"/>
    </row>
    <row r="14" spans="1:12" s="86" customFormat="1" ht="16.5" customHeight="1">
      <c r="A14" s="5471"/>
      <c r="B14" s="5473"/>
      <c r="C14" s="5466"/>
      <c r="D14" s="1228"/>
      <c r="E14" s="1226"/>
      <c r="F14" s="1227"/>
      <c r="G14" s="801" t="s">
        <v>431</v>
      </c>
      <c r="H14" s="1026">
        <v>14000517</v>
      </c>
      <c r="I14" s="1027">
        <f t="shared" si="0"/>
        <v>11452913.59</v>
      </c>
      <c r="J14" s="1223"/>
      <c r="K14" s="1224">
        <v>11452913.59</v>
      </c>
      <c r="L14" s="5466"/>
    </row>
    <row r="15" spans="1:12" s="86" customFormat="1" ht="16.5" customHeight="1" thickBot="1">
      <c r="A15" s="5471"/>
      <c r="B15" s="5473"/>
      <c r="C15" s="5466"/>
      <c r="D15" s="1228"/>
      <c r="E15" s="1226"/>
      <c r="F15" s="1227"/>
      <c r="G15" s="801" t="s">
        <v>430</v>
      </c>
      <c r="H15" s="1026">
        <v>20000</v>
      </c>
      <c r="I15" s="1027">
        <f t="shared" si="0"/>
        <v>0</v>
      </c>
      <c r="J15" s="1223"/>
      <c r="K15" s="1224">
        <v>0</v>
      </c>
      <c r="L15" s="5467"/>
    </row>
    <row r="16" spans="1:12" s="80" customFormat="1" ht="30" customHeight="1" thickBot="1">
      <c r="A16" s="766" t="s">
        <v>440</v>
      </c>
      <c r="B16" s="767"/>
      <c r="C16" s="768" t="s">
        <v>70</v>
      </c>
      <c r="D16" s="769"/>
      <c r="E16" s="770">
        <f>SUM(E17,E20,E22)</f>
        <v>6875000</v>
      </c>
      <c r="F16" s="771">
        <f>SUM(F17,F20,F22)</f>
        <v>6875000</v>
      </c>
      <c r="G16" s="770"/>
      <c r="H16" s="794">
        <f>SUM(H17,H20,H22)</f>
        <v>11264285</v>
      </c>
      <c r="I16" s="795">
        <f>SUM(I17,I20,I22)</f>
        <v>3368743.07</v>
      </c>
      <c r="J16" s="771">
        <f>SUM(J17,J20,J22)</f>
        <v>2865971.55</v>
      </c>
      <c r="K16" s="795">
        <f>SUM(K17,K20,K22)</f>
        <v>502771.52</v>
      </c>
      <c r="L16" s="5466" t="s">
        <v>488</v>
      </c>
    </row>
    <row r="17" spans="1:14" s="86" customFormat="1" ht="34.5" customHeight="1">
      <c r="A17" s="772"/>
      <c r="B17" s="773" t="s">
        <v>439</v>
      </c>
      <c r="C17" s="774" t="s">
        <v>487</v>
      </c>
      <c r="D17" s="775"/>
      <c r="E17" s="776">
        <f>SUM(E18:E19)</f>
        <v>6875000</v>
      </c>
      <c r="F17" s="777">
        <f>SUM(F18:F19)</f>
        <v>6875000</v>
      </c>
      <c r="G17" s="776"/>
      <c r="H17" s="776">
        <f>SUM(H18:H19)</f>
        <v>10101137</v>
      </c>
      <c r="I17" s="777">
        <f>SUM(I18:I19)</f>
        <v>3103495.23</v>
      </c>
      <c r="J17" s="796">
        <f>SUM(J18:J19)</f>
        <v>2865971.55</v>
      </c>
      <c r="K17" s="777">
        <f>SUM(K18:K19)</f>
        <v>237523.68</v>
      </c>
      <c r="L17" s="5466"/>
    </row>
    <row r="18" spans="1:14" s="86" customFormat="1" ht="16.5" customHeight="1">
      <c r="A18" s="772"/>
      <c r="B18" s="778"/>
      <c r="C18" s="779"/>
      <c r="D18" s="780" t="s">
        <v>74</v>
      </c>
      <c r="E18" s="781">
        <v>5375000</v>
      </c>
      <c r="F18" s="782">
        <v>5375000</v>
      </c>
      <c r="G18" s="784" t="s">
        <v>330</v>
      </c>
      <c r="H18" s="797">
        <v>8601137</v>
      </c>
      <c r="I18" s="798">
        <f>J18+K18</f>
        <v>2865971.55</v>
      </c>
      <c r="J18" s="799">
        <v>2865971.55</v>
      </c>
      <c r="K18" s="800"/>
      <c r="L18" s="5466"/>
    </row>
    <row r="19" spans="1:14" s="86" customFormat="1" ht="16.5" customHeight="1">
      <c r="A19" s="783"/>
      <c r="B19" s="784"/>
      <c r="C19" s="785"/>
      <c r="D19" s="786" t="s">
        <v>486</v>
      </c>
      <c r="E19" s="787">
        <v>1500000</v>
      </c>
      <c r="F19" s="788">
        <v>1500000</v>
      </c>
      <c r="G19" s="801" t="s">
        <v>354</v>
      </c>
      <c r="H19" s="802">
        <v>1500000</v>
      </c>
      <c r="I19" s="798">
        <f>J19+K19</f>
        <v>237523.68</v>
      </c>
      <c r="J19" s="803"/>
      <c r="K19" s="804">
        <v>237523.68</v>
      </c>
      <c r="L19" s="5466"/>
    </row>
    <row r="20" spans="1:14" s="103" customFormat="1" ht="40.5" customHeight="1">
      <c r="A20" s="5468"/>
      <c r="B20" s="789" t="s">
        <v>433</v>
      </c>
      <c r="C20" s="790" t="s">
        <v>92</v>
      </c>
      <c r="D20" s="791"/>
      <c r="E20" s="792">
        <f>SUM(E21:E21)</f>
        <v>0</v>
      </c>
      <c r="F20" s="793">
        <f>SUM(F21:F21)</f>
        <v>0</v>
      </c>
      <c r="G20" s="298"/>
      <c r="H20" s="300">
        <f>SUM(H21)</f>
        <v>897900</v>
      </c>
      <c r="I20" s="301">
        <f>SUM(I21)</f>
        <v>0</v>
      </c>
      <c r="J20" s="302">
        <f>SUM(J21)</f>
        <v>0</v>
      </c>
      <c r="K20" s="303">
        <f>SUM(K21)</f>
        <v>0</v>
      </c>
      <c r="L20" s="5475" t="s">
        <v>540</v>
      </c>
    </row>
    <row r="21" spans="1:14" s="103" customFormat="1" ht="16.5" customHeight="1">
      <c r="A21" s="5468"/>
      <c r="B21" s="778"/>
      <c r="C21" s="779"/>
      <c r="D21" s="786"/>
      <c r="E21" s="787">
        <v>0</v>
      </c>
      <c r="F21" s="788"/>
      <c r="G21" s="309" t="s">
        <v>432</v>
      </c>
      <c r="H21" s="310">
        <v>897900</v>
      </c>
      <c r="I21" s="311">
        <f>SUM(J21:K21)</f>
        <v>0</v>
      </c>
      <c r="J21" s="312"/>
      <c r="K21" s="313">
        <v>0</v>
      </c>
      <c r="L21" s="5476"/>
    </row>
    <row r="22" spans="1:14" s="86" customFormat="1" ht="40.5" customHeight="1">
      <c r="A22" s="5478"/>
      <c r="B22" s="295" t="s">
        <v>423</v>
      </c>
      <c r="C22" s="296" t="s">
        <v>485</v>
      </c>
      <c r="D22" s="297"/>
      <c r="E22" s="298">
        <f>SUM(E23:E23)</f>
        <v>0</v>
      </c>
      <c r="F22" s="299">
        <f>SUM(F23:F23)</f>
        <v>0</v>
      </c>
      <c r="G22" s="298"/>
      <c r="H22" s="300">
        <f>SUM(H23)</f>
        <v>265248</v>
      </c>
      <c r="I22" s="301">
        <f>SUM(I23)</f>
        <v>265247.84000000003</v>
      </c>
      <c r="J22" s="302">
        <f>SUM(J23)</f>
        <v>0</v>
      </c>
      <c r="K22" s="303">
        <f>SUM(K23)</f>
        <v>265247.84000000003</v>
      </c>
      <c r="L22" s="5476"/>
    </row>
    <row r="23" spans="1:14" s="86" customFormat="1" ht="16.5" customHeight="1" thickBot="1">
      <c r="A23" s="5478"/>
      <c r="B23" s="304"/>
      <c r="C23" s="305"/>
      <c r="D23" s="306"/>
      <c r="E23" s="307"/>
      <c r="F23" s="308"/>
      <c r="G23" s="314" t="s">
        <v>432</v>
      </c>
      <c r="H23" s="315">
        <v>265248</v>
      </c>
      <c r="I23" s="316">
        <f>SUM(J23:K23)</f>
        <v>265247.84000000003</v>
      </c>
      <c r="J23" s="317"/>
      <c r="K23" s="318">
        <v>265247.84000000003</v>
      </c>
      <c r="L23" s="5477"/>
    </row>
    <row r="24" spans="1:14" ht="75.75" thickBot="1">
      <c r="A24" s="766" t="s">
        <v>484</v>
      </c>
      <c r="B24" s="767"/>
      <c r="C24" s="768" t="s">
        <v>483</v>
      </c>
      <c r="D24" s="769"/>
      <c r="E24" s="770">
        <f>SUM(E25)</f>
        <v>551200</v>
      </c>
      <c r="F24" s="771">
        <f>SUM(F25)</f>
        <v>659350</v>
      </c>
      <c r="G24" s="770"/>
      <c r="H24" s="794">
        <f>SUM(H25)</f>
        <v>0</v>
      </c>
      <c r="I24" s="795">
        <f>SUM(I25)</f>
        <v>0</v>
      </c>
      <c r="J24" s="771">
        <f>SUM(J25)</f>
        <v>0</v>
      </c>
      <c r="K24" s="795">
        <f>SUM(K25)</f>
        <v>0</v>
      </c>
      <c r="L24" s="5465" t="s">
        <v>480</v>
      </c>
    </row>
    <row r="25" spans="1:14" s="102" customFormat="1" ht="47.25" customHeight="1">
      <c r="A25" s="5468"/>
      <c r="B25" s="773" t="s">
        <v>482</v>
      </c>
      <c r="C25" s="774" t="s">
        <v>160</v>
      </c>
      <c r="D25" s="775"/>
      <c r="E25" s="776">
        <f>SUM(E26:E26)</f>
        <v>551200</v>
      </c>
      <c r="F25" s="777">
        <f>SUM(F26:F26)</f>
        <v>659350</v>
      </c>
      <c r="G25" s="776"/>
      <c r="H25" s="1215">
        <f>SUM(H26:H26)</f>
        <v>0</v>
      </c>
      <c r="I25" s="1216">
        <f>SUM(I26:I26)</f>
        <v>0</v>
      </c>
      <c r="J25" s="777">
        <f>SUM(J26:J26)</f>
        <v>0</v>
      </c>
      <c r="K25" s="1216">
        <f>SUM(K26:K26)</f>
        <v>0</v>
      </c>
      <c r="L25" s="5466"/>
    </row>
    <row r="26" spans="1:14" s="102" customFormat="1" ht="18" customHeight="1" thickBot="1">
      <c r="A26" s="5468"/>
      <c r="B26" s="778"/>
      <c r="C26" s="779"/>
      <c r="D26" s="780" t="s">
        <v>164</v>
      </c>
      <c r="E26" s="781">
        <v>551200</v>
      </c>
      <c r="F26" s="782">
        <v>659350</v>
      </c>
      <c r="G26" s="784"/>
      <c r="H26" s="797"/>
      <c r="I26" s="1027"/>
      <c r="J26" s="1223"/>
      <c r="K26" s="1224"/>
      <c r="L26" s="5467"/>
    </row>
    <row r="27" spans="1:14" ht="22.5" customHeight="1" thickBot="1">
      <c r="A27" s="4222" t="s">
        <v>394</v>
      </c>
      <c r="B27" s="4268"/>
      <c r="C27" s="4224" t="s">
        <v>173</v>
      </c>
      <c r="D27" s="4269"/>
      <c r="E27" s="4226">
        <f>SUM(E28)</f>
        <v>1826154</v>
      </c>
      <c r="F27" s="4227">
        <f>SUM(F28)</f>
        <v>1958132.44</v>
      </c>
      <c r="G27" s="4226"/>
      <c r="H27" s="4228">
        <f>SUM(H28)</f>
        <v>0</v>
      </c>
      <c r="I27" s="4229">
        <f>SUM(I28)</f>
        <v>0</v>
      </c>
      <c r="J27" s="4227">
        <f>SUM(J28)</f>
        <v>0</v>
      </c>
      <c r="K27" s="4229">
        <f>SUM(K28)</f>
        <v>0</v>
      </c>
      <c r="L27" s="5484" t="s">
        <v>540</v>
      </c>
    </row>
    <row r="28" spans="1:14" s="102" customFormat="1" ht="24" customHeight="1">
      <c r="A28" s="5468"/>
      <c r="B28" s="1332" t="s">
        <v>481</v>
      </c>
      <c r="C28" s="1333" t="s">
        <v>179</v>
      </c>
      <c r="D28" s="1334"/>
      <c r="E28" s="4218">
        <f>SUM(E29:E29)</f>
        <v>1826154</v>
      </c>
      <c r="F28" s="4219">
        <f>SUM(F29:F29)</f>
        <v>1958132.44</v>
      </c>
      <c r="G28" s="4218"/>
      <c r="H28" s="4220">
        <f>SUM(H29:H29)</f>
        <v>0</v>
      </c>
      <c r="I28" s="4231">
        <f>SUM(I29:I29)</f>
        <v>0</v>
      </c>
      <c r="J28" s="4219">
        <f>SUM(J29:J29)</f>
        <v>0</v>
      </c>
      <c r="K28" s="4231">
        <f>SUM(K29:K29)</f>
        <v>0</v>
      </c>
      <c r="L28" s="5466"/>
    </row>
    <row r="29" spans="1:14" s="102" customFormat="1" ht="18" customHeight="1" thickBot="1">
      <c r="A29" s="5468"/>
      <c r="B29" s="4274"/>
      <c r="C29" s="4275"/>
      <c r="D29" s="780" t="s">
        <v>41</v>
      </c>
      <c r="E29" s="781">
        <v>1826154</v>
      </c>
      <c r="F29" s="782">
        <v>1958132.44</v>
      </c>
      <c r="G29" s="784"/>
      <c r="H29" s="4276"/>
      <c r="I29" s="4099"/>
      <c r="J29" s="4100"/>
      <c r="K29" s="4101"/>
      <c r="L29" s="5466"/>
    </row>
    <row r="30" spans="1:14" s="80" customFormat="1" ht="21" customHeight="1" thickBot="1">
      <c r="A30" s="4222" t="s">
        <v>390</v>
      </c>
      <c r="B30" s="4268"/>
      <c r="C30" s="4224" t="s">
        <v>213</v>
      </c>
      <c r="D30" s="4269"/>
      <c r="E30" s="4226">
        <f>E35+E37+E31</f>
        <v>0</v>
      </c>
      <c r="F30" s="4227">
        <f>F35+F37+F31</f>
        <v>102.8</v>
      </c>
      <c r="G30" s="4226"/>
      <c r="H30" s="4228">
        <f>H35+H37+H31+H33</f>
        <v>16183938</v>
      </c>
      <c r="I30" s="4229">
        <f>I35+I37+I31+I33</f>
        <v>10945844.060000001</v>
      </c>
      <c r="J30" s="4229">
        <f>J35+J37+J31</f>
        <v>403262.74</v>
      </c>
      <c r="K30" s="4227">
        <f>SUM(K37,K35,K33,K31)</f>
        <v>10542581.32</v>
      </c>
      <c r="L30" s="5466"/>
      <c r="M30" s="96"/>
      <c r="N30" s="96"/>
    </row>
    <row r="31" spans="1:14" s="86" customFormat="1" ht="22.5" customHeight="1">
      <c r="A31" s="1331"/>
      <c r="B31" s="1332" t="s">
        <v>389</v>
      </c>
      <c r="C31" s="1333" t="s">
        <v>214</v>
      </c>
      <c r="D31" s="1334"/>
      <c r="E31" s="1335">
        <f>SUM(E32:E32)</f>
        <v>0</v>
      </c>
      <c r="F31" s="1336">
        <f>SUM(F32:F32)</f>
        <v>0</v>
      </c>
      <c r="G31" s="1337"/>
      <c r="H31" s="1338">
        <f>SUM(H32:H32)</f>
        <v>3750700</v>
      </c>
      <c r="I31" s="1339">
        <f>SUM(I32:I32)</f>
        <v>3750700</v>
      </c>
      <c r="J31" s="1336">
        <f>SUM(J32:J32)</f>
        <v>0</v>
      </c>
      <c r="K31" s="1340">
        <f>SUM(K32:K32)</f>
        <v>3750700</v>
      </c>
      <c r="L31" s="5466"/>
    </row>
    <row r="32" spans="1:14" s="86" customFormat="1" ht="18" customHeight="1">
      <c r="A32" s="4216"/>
      <c r="B32" s="4508"/>
      <c r="C32" s="4509"/>
      <c r="D32" s="4510"/>
      <c r="E32" s="4511"/>
      <c r="F32" s="4512"/>
      <c r="G32" s="4495" t="s">
        <v>338</v>
      </c>
      <c r="H32" s="4513">
        <v>3750700</v>
      </c>
      <c r="I32" s="4016">
        <v>3750700</v>
      </c>
      <c r="J32" s="4514"/>
      <c r="K32" s="4515">
        <v>3750700</v>
      </c>
      <c r="L32" s="5466"/>
      <c r="N32" s="95"/>
    </row>
    <row r="33" spans="1:14" s="86" customFormat="1" ht="21.75" customHeight="1">
      <c r="A33" s="1331"/>
      <c r="B33" s="4505" t="s">
        <v>897</v>
      </c>
      <c r="C33" s="4506" t="s">
        <v>898</v>
      </c>
      <c r="D33" s="4507"/>
      <c r="E33" s="4493">
        <f>SUM(E34:E34)</f>
        <v>0</v>
      </c>
      <c r="F33" s="4485">
        <f>SUM(F34:F34)</f>
        <v>0</v>
      </c>
      <c r="G33" s="4493"/>
      <c r="H33" s="4490">
        <f>H34</f>
        <v>11982038</v>
      </c>
      <c r="I33" s="4497">
        <f t="shared" ref="I33:K33" si="1">I34</f>
        <v>6745381.3200000003</v>
      </c>
      <c r="J33" s="4497">
        <f>SUM(J34)</f>
        <v>0</v>
      </c>
      <c r="K33" s="4485">
        <f t="shared" si="1"/>
        <v>6745381.3200000003</v>
      </c>
      <c r="L33" s="5466"/>
      <c r="N33" s="95"/>
    </row>
    <row r="34" spans="1:14" s="86" customFormat="1" ht="18" customHeight="1" thickBot="1">
      <c r="A34" s="4273"/>
      <c r="B34" s="1341"/>
      <c r="C34" s="1342"/>
      <c r="D34" s="4270"/>
      <c r="E34" s="1343"/>
      <c r="F34" s="4271"/>
      <c r="G34" s="1344" t="s">
        <v>338</v>
      </c>
      <c r="H34" s="4272">
        <f>5912031+3532880+2537127</f>
        <v>11982038</v>
      </c>
      <c r="I34" s="882">
        <f>K34</f>
        <v>6745381.3200000003</v>
      </c>
      <c r="J34" s="4502"/>
      <c r="K34" s="4499">
        <v>6745381.3200000003</v>
      </c>
      <c r="L34" s="5467"/>
      <c r="N34" s="95"/>
    </row>
    <row r="35" spans="1:14" s="86" customFormat="1" ht="24.75" customHeight="1">
      <c r="A35" s="94"/>
      <c r="B35" s="1332" t="s">
        <v>387</v>
      </c>
      <c r="C35" s="1333" t="s">
        <v>220</v>
      </c>
      <c r="D35" s="1334"/>
      <c r="E35" s="1337">
        <f>SUM(E36:E36)</f>
        <v>0</v>
      </c>
      <c r="F35" s="4485">
        <f>SUM(F36:F36)</f>
        <v>0</v>
      </c>
      <c r="G35" s="4493"/>
      <c r="H35" s="4490">
        <f>SUM(H36:H36)</f>
        <v>150000</v>
      </c>
      <c r="I35" s="4497">
        <f>SUM(I36:I36)</f>
        <v>150000</v>
      </c>
      <c r="J35" s="4497">
        <f>SUM(J36:J36)</f>
        <v>150000</v>
      </c>
      <c r="K35" s="4485">
        <f>SUM(K36:K36)</f>
        <v>0</v>
      </c>
      <c r="L35" s="5466" t="s">
        <v>480</v>
      </c>
    </row>
    <row r="36" spans="1:14" s="86" customFormat="1" ht="20.25" customHeight="1">
      <c r="A36" s="94"/>
      <c r="B36" s="1310"/>
      <c r="C36" s="1311"/>
      <c r="D36" s="1312"/>
      <c r="E36" s="1313"/>
      <c r="F36" s="4486"/>
      <c r="G36" s="4274" t="s">
        <v>91</v>
      </c>
      <c r="H36" s="4491">
        <v>150000</v>
      </c>
      <c r="I36" s="4099">
        <v>150000</v>
      </c>
      <c r="J36" s="4503">
        <v>150000</v>
      </c>
      <c r="K36" s="4500"/>
      <c r="L36" s="5466"/>
      <c r="N36" s="95"/>
    </row>
    <row r="37" spans="1:14" s="86" customFormat="1" ht="24.75" customHeight="1">
      <c r="A37" s="94"/>
      <c r="B37" s="1028" t="s">
        <v>386</v>
      </c>
      <c r="C37" s="1029" t="s">
        <v>479</v>
      </c>
      <c r="D37" s="297"/>
      <c r="E37" s="1030">
        <f>SUM(E38:E42)</f>
        <v>0</v>
      </c>
      <c r="F37" s="4487">
        <f>SUM(F38:F42)</f>
        <v>102.8</v>
      </c>
      <c r="G37" s="4494"/>
      <c r="H37" s="4492">
        <f>SUM(H38:H43)</f>
        <v>301200</v>
      </c>
      <c r="I37" s="4498">
        <f>SUM(I38:I43)</f>
        <v>299762.74</v>
      </c>
      <c r="J37" s="4498">
        <f>SUM(J38:J43)</f>
        <v>253262.74</v>
      </c>
      <c r="K37" s="4487">
        <f>SUM(K38:K43)</f>
        <v>46500</v>
      </c>
      <c r="L37" s="5466"/>
      <c r="N37" s="95"/>
    </row>
    <row r="38" spans="1:14" s="80" customFormat="1" ht="18" customHeight="1">
      <c r="A38" s="94"/>
      <c r="B38" s="5479"/>
      <c r="C38" s="5481"/>
      <c r="D38" s="1031" t="s">
        <v>69</v>
      </c>
      <c r="E38" s="1032">
        <v>0</v>
      </c>
      <c r="F38" s="4488">
        <v>83.07</v>
      </c>
      <c r="G38" s="4495" t="s">
        <v>91</v>
      </c>
      <c r="H38" s="4496">
        <v>218200</v>
      </c>
      <c r="I38" s="4016">
        <v>217632.74</v>
      </c>
      <c r="J38" s="4016">
        <v>217632.74</v>
      </c>
      <c r="K38" s="4501"/>
      <c r="L38" s="5466"/>
    </row>
    <row r="39" spans="1:14" s="80" customFormat="1" ht="18" customHeight="1">
      <c r="A39" s="94"/>
      <c r="B39" s="5480"/>
      <c r="C39" s="5482"/>
      <c r="D39" s="306" t="s">
        <v>42</v>
      </c>
      <c r="E39" s="1032">
        <v>0</v>
      </c>
      <c r="F39" s="4488">
        <v>19.73</v>
      </c>
      <c r="G39" s="4495" t="s">
        <v>334</v>
      </c>
      <c r="H39" s="4496">
        <v>27000</v>
      </c>
      <c r="I39" s="4016">
        <v>26232.21</v>
      </c>
      <c r="J39" s="4016">
        <v>26232.21</v>
      </c>
      <c r="K39" s="4501"/>
      <c r="L39" s="5466"/>
    </row>
    <row r="40" spans="1:14" s="80" customFormat="1" ht="18" customHeight="1">
      <c r="A40" s="94"/>
      <c r="B40" s="5480"/>
      <c r="C40" s="5482"/>
      <c r="D40" s="306"/>
      <c r="E40" s="1032"/>
      <c r="F40" s="4488"/>
      <c r="G40" s="4495" t="s">
        <v>313</v>
      </c>
      <c r="H40" s="4496">
        <v>2000</v>
      </c>
      <c r="I40" s="4016">
        <v>1997.79</v>
      </c>
      <c r="J40" s="4016">
        <v>1997.79</v>
      </c>
      <c r="K40" s="4501"/>
      <c r="L40" s="5466"/>
    </row>
    <row r="41" spans="1:14" s="80" customFormat="1" ht="18" customHeight="1">
      <c r="A41" s="94"/>
      <c r="B41" s="5480"/>
      <c r="C41" s="5482"/>
      <c r="D41" s="306"/>
      <c r="E41" s="1032"/>
      <c r="F41" s="4488"/>
      <c r="G41" s="4495" t="s">
        <v>312</v>
      </c>
      <c r="H41" s="4496">
        <v>4000</v>
      </c>
      <c r="I41" s="4016">
        <v>4000</v>
      </c>
      <c r="J41" s="4016">
        <v>4000</v>
      </c>
      <c r="K41" s="4501"/>
      <c r="L41" s="5466"/>
      <c r="N41" s="88"/>
    </row>
    <row r="42" spans="1:14" s="80" customFormat="1" ht="18" customHeight="1">
      <c r="A42" s="94"/>
      <c r="B42" s="93"/>
      <c r="C42" s="92"/>
      <c r="D42" s="4482"/>
      <c r="E42" s="4483"/>
      <c r="F42" s="4489"/>
      <c r="G42" s="4495" t="s">
        <v>436</v>
      </c>
      <c r="H42" s="4496">
        <v>3500</v>
      </c>
      <c r="I42" s="4016">
        <v>3400</v>
      </c>
      <c r="J42" s="4016">
        <v>3400</v>
      </c>
      <c r="K42" s="4501"/>
      <c r="L42" s="5466"/>
      <c r="N42" s="88"/>
    </row>
    <row r="43" spans="1:14" s="80" customFormat="1" ht="18" customHeight="1" thickBot="1">
      <c r="A43" s="139"/>
      <c r="B43" s="93"/>
      <c r="C43" s="92"/>
      <c r="D43" s="91"/>
      <c r="E43" s="90"/>
      <c r="F43" s="89"/>
      <c r="G43" s="1344" t="s">
        <v>431</v>
      </c>
      <c r="H43" s="4235">
        <v>46500</v>
      </c>
      <c r="I43" s="1345">
        <v>46500</v>
      </c>
      <c r="J43" s="4504"/>
      <c r="K43" s="4100">
        <v>46500</v>
      </c>
      <c r="L43" s="5466"/>
    </row>
    <row r="44" spans="1:14" s="80" customFormat="1" ht="27" customHeight="1" thickBot="1">
      <c r="A44" s="766" t="s">
        <v>380</v>
      </c>
      <c r="B44" s="767"/>
      <c r="C44" s="768" t="s">
        <v>224</v>
      </c>
      <c r="D44" s="1229"/>
      <c r="E44" s="770">
        <f>SUM(E45)</f>
        <v>0</v>
      </c>
      <c r="F44" s="771">
        <f>SUM(F45)</f>
        <v>5985</v>
      </c>
      <c r="G44" s="1033"/>
      <c r="H44" s="1034">
        <f>SUM(H45)</f>
        <v>100000</v>
      </c>
      <c r="I44" s="1035">
        <f>SUM(I45)</f>
        <v>92177.66</v>
      </c>
      <c r="J44" s="1036">
        <f>SUM(J45)</f>
        <v>92177.66</v>
      </c>
      <c r="K44" s="4265">
        <f>SUM(K45)</f>
        <v>0</v>
      </c>
      <c r="L44" s="5466"/>
      <c r="N44" s="88"/>
    </row>
    <row r="45" spans="1:14" s="80" customFormat="1" ht="29.25" customHeight="1">
      <c r="A45" s="5483"/>
      <c r="B45" s="773" t="s">
        <v>379</v>
      </c>
      <c r="C45" s="774" t="s">
        <v>225</v>
      </c>
      <c r="D45" s="775"/>
      <c r="E45" s="1076">
        <f>SUM(E47:E47)</f>
        <v>0</v>
      </c>
      <c r="F45" s="1314">
        <f>SUM(F46:F47)</f>
        <v>5985</v>
      </c>
      <c r="G45" s="1037"/>
      <c r="H45" s="1038">
        <f>SUM(H47:H47)</f>
        <v>100000</v>
      </c>
      <c r="I45" s="1039">
        <f>SUM(I47:I47)</f>
        <v>92177.66</v>
      </c>
      <c r="J45" s="1040">
        <f>SUM(J47:J47)</f>
        <v>92177.66</v>
      </c>
      <c r="K45" s="4266">
        <f>SUM(K47:K47)</f>
        <v>0</v>
      </c>
      <c r="L45" s="5466"/>
    </row>
    <row r="46" spans="1:14" s="80" customFormat="1" ht="18.75" customHeight="1">
      <c r="A46" s="5468"/>
      <c r="B46" s="4216"/>
      <c r="C46" s="4279"/>
      <c r="D46" s="780" t="s">
        <v>69</v>
      </c>
      <c r="E46" s="781">
        <v>0</v>
      </c>
      <c r="F46" s="782">
        <v>1045</v>
      </c>
      <c r="G46" s="4280"/>
      <c r="H46" s="4281"/>
      <c r="I46" s="4282"/>
      <c r="J46" s="4283"/>
      <c r="K46" s="4284"/>
      <c r="L46" s="5466"/>
    </row>
    <row r="47" spans="1:14" s="80" customFormat="1" ht="18.75" customHeight="1" thickBot="1">
      <c r="A47" s="5468"/>
      <c r="B47" s="953"/>
      <c r="C47" s="4484"/>
      <c r="D47" s="1315" t="s">
        <v>42</v>
      </c>
      <c r="E47" s="1316">
        <v>0</v>
      </c>
      <c r="F47" s="1317">
        <v>4940</v>
      </c>
      <c r="G47" s="1041" t="s">
        <v>91</v>
      </c>
      <c r="H47" s="1042">
        <v>100000</v>
      </c>
      <c r="I47" s="1043">
        <v>92177.66</v>
      </c>
      <c r="J47" s="1044">
        <v>92177.66</v>
      </c>
      <c r="K47" s="4267"/>
      <c r="L47" s="5467"/>
    </row>
    <row r="48" spans="1:14" s="87" customFormat="1" ht="30" customHeight="1" thickBot="1">
      <c r="A48" s="4222" t="s">
        <v>359</v>
      </c>
      <c r="B48" s="4223"/>
      <c r="C48" s="4224" t="s">
        <v>254</v>
      </c>
      <c r="D48" s="4225"/>
      <c r="E48" s="4226">
        <f>SUM(E49,E55,E61,E66)</f>
        <v>574700</v>
      </c>
      <c r="F48" s="4227">
        <f>SUM(F49,F55,F61,F66)</f>
        <v>966987.26</v>
      </c>
      <c r="G48" s="4226"/>
      <c r="H48" s="4228">
        <f>SUM(H49,H55,H61,H66)</f>
        <v>1030552</v>
      </c>
      <c r="I48" s="4229">
        <f>SUM(I49,I55,I61,I66)</f>
        <v>1010925.27</v>
      </c>
      <c r="J48" s="4227">
        <f>SUM(J49,J55,J61,J66)</f>
        <v>1010925.27</v>
      </c>
      <c r="K48" s="4229">
        <f>SUM(K49,K55,K61,K66)</f>
        <v>0</v>
      </c>
      <c r="L48" s="4230" t="s">
        <v>478</v>
      </c>
    </row>
    <row r="49" spans="1:12" s="86" customFormat="1" ht="47.25" customHeight="1">
      <c r="A49" s="4217"/>
      <c r="B49" s="1332" t="s">
        <v>356</v>
      </c>
      <c r="C49" s="1333" t="s">
        <v>355</v>
      </c>
      <c r="D49" s="1334"/>
      <c r="E49" s="4218">
        <f>SUM(E50:E52)</f>
        <v>400000</v>
      </c>
      <c r="F49" s="4219">
        <f>SUM(F50:F52)</f>
        <v>468941.89</v>
      </c>
      <c r="G49" s="4218"/>
      <c r="H49" s="4220">
        <f>SUM(H50:H54)</f>
        <v>514884</v>
      </c>
      <c r="I49" s="4231">
        <f>SUM(I50:I54)</f>
        <v>505257.27</v>
      </c>
      <c r="J49" s="4219">
        <f>SUM(J50:J54)</f>
        <v>505257.27</v>
      </c>
      <c r="K49" s="4231">
        <f>SUM(K50:K54)</f>
        <v>0</v>
      </c>
      <c r="L49" s="5466" t="s">
        <v>477</v>
      </c>
    </row>
    <row r="50" spans="1:12" s="80" customFormat="1" ht="17.25" customHeight="1">
      <c r="A50" s="97"/>
      <c r="B50" s="4232"/>
      <c r="C50" s="5492"/>
      <c r="D50" s="4233" t="s">
        <v>94</v>
      </c>
      <c r="E50" s="4234">
        <v>0</v>
      </c>
      <c r="F50" s="4063">
        <v>77.239999999999995</v>
      </c>
      <c r="G50" s="784" t="s">
        <v>337</v>
      </c>
      <c r="H50" s="4235">
        <v>405285</v>
      </c>
      <c r="I50" s="4062">
        <f t="shared" ref="I50:I54" si="2">J50+K50</f>
        <v>405285</v>
      </c>
      <c r="J50" s="4236">
        <v>405285</v>
      </c>
      <c r="K50" s="883"/>
      <c r="L50" s="5466"/>
    </row>
    <row r="51" spans="1:12" s="80" customFormat="1" ht="17.25" customHeight="1">
      <c r="A51" s="97"/>
      <c r="B51" s="178"/>
      <c r="C51" s="5493"/>
      <c r="D51" s="4233" t="s">
        <v>38</v>
      </c>
      <c r="E51" s="4234">
        <v>400000</v>
      </c>
      <c r="F51" s="4063">
        <v>468864.65</v>
      </c>
      <c r="G51" s="4237" t="s">
        <v>315</v>
      </c>
      <c r="H51" s="3983">
        <v>69669</v>
      </c>
      <c r="I51" s="4062">
        <f t="shared" si="2"/>
        <v>69669</v>
      </c>
      <c r="J51" s="3984">
        <v>69669</v>
      </c>
      <c r="K51" s="4091"/>
      <c r="L51" s="5466"/>
    </row>
    <row r="52" spans="1:12" s="80" customFormat="1" ht="17.25" customHeight="1">
      <c r="A52" s="97"/>
      <c r="B52" s="178"/>
      <c r="C52" s="5493"/>
      <c r="D52" s="4233"/>
      <c r="E52" s="4234"/>
      <c r="F52" s="4238"/>
      <c r="G52" s="4237" t="s">
        <v>314</v>
      </c>
      <c r="H52" s="3983">
        <v>9930</v>
      </c>
      <c r="I52" s="4062">
        <f t="shared" si="2"/>
        <v>9930</v>
      </c>
      <c r="J52" s="3984">
        <v>9930</v>
      </c>
      <c r="K52" s="4091"/>
      <c r="L52" s="5466"/>
    </row>
    <row r="53" spans="1:12" s="80" customFormat="1" ht="17.25" customHeight="1">
      <c r="A53" s="97"/>
      <c r="B53" s="178"/>
      <c r="C53" s="92"/>
      <c r="D53" s="4233"/>
      <c r="E53" s="4234"/>
      <c r="F53" s="4238"/>
      <c r="G53" s="4237" t="s">
        <v>313</v>
      </c>
      <c r="H53" s="3983">
        <v>10000</v>
      </c>
      <c r="I53" s="4062">
        <f t="shared" si="2"/>
        <v>4173.2700000000004</v>
      </c>
      <c r="J53" s="3984">
        <v>4173.2700000000004</v>
      </c>
      <c r="K53" s="4091"/>
      <c r="L53" s="5466"/>
    </row>
    <row r="54" spans="1:12" s="80" customFormat="1" ht="17.25" customHeight="1">
      <c r="A54" s="97"/>
      <c r="B54" s="178"/>
      <c r="C54" s="92"/>
      <c r="D54" s="4233"/>
      <c r="E54" s="4234"/>
      <c r="F54" s="4238"/>
      <c r="G54" s="4237" t="s">
        <v>322</v>
      </c>
      <c r="H54" s="3983">
        <v>20000</v>
      </c>
      <c r="I54" s="4062">
        <f t="shared" si="2"/>
        <v>16200</v>
      </c>
      <c r="J54" s="3984">
        <v>16200</v>
      </c>
      <c r="K54" s="4091"/>
      <c r="L54" s="5491"/>
    </row>
    <row r="55" spans="1:12" s="84" customFormat="1" ht="48" customHeight="1">
      <c r="A55" s="97"/>
      <c r="B55" s="4239" t="s">
        <v>353</v>
      </c>
      <c r="C55" s="4240" t="s">
        <v>352</v>
      </c>
      <c r="D55" s="4241"/>
      <c r="E55" s="4242">
        <f>SUM(E56:E60)</f>
        <v>73400</v>
      </c>
      <c r="F55" s="4243">
        <f>SUM(F56:F60)</f>
        <v>180169.74000000002</v>
      </c>
      <c r="G55" s="4242"/>
      <c r="H55" s="4244">
        <f>SUM(H56:H60)</f>
        <v>174240</v>
      </c>
      <c r="I55" s="4245">
        <f>SUM(I56:I60)</f>
        <v>164240</v>
      </c>
      <c r="J55" s="4243">
        <f>SUM(J56:J60)</f>
        <v>164240</v>
      </c>
      <c r="K55" s="4245">
        <f>SUM(K56:K60)</f>
        <v>0</v>
      </c>
      <c r="L55" s="5494" t="s">
        <v>476</v>
      </c>
    </row>
    <row r="56" spans="1:12" s="85" customFormat="1" ht="27.75" customHeight="1">
      <c r="A56" s="97"/>
      <c r="B56" s="5495"/>
      <c r="C56" s="5492"/>
      <c r="D56" s="1230" t="s">
        <v>262</v>
      </c>
      <c r="E56" s="4234">
        <v>40000</v>
      </c>
      <c r="F56" s="4238">
        <v>79662.47</v>
      </c>
      <c r="G56" s="1217" t="s">
        <v>337</v>
      </c>
      <c r="H56" s="3983">
        <v>134771</v>
      </c>
      <c r="I56" s="1218">
        <f>J56+K56</f>
        <v>134771</v>
      </c>
      <c r="J56" s="1219">
        <v>134771</v>
      </c>
      <c r="K56" s="1218"/>
      <c r="L56" s="5466"/>
    </row>
    <row r="57" spans="1:12" s="85" customFormat="1" ht="27.75" customHeight="1">
      <c r="A57" s="97"/>
      <c r="B57" s="5496"/>
      <c r="C57" s="5493"/>
      <c r="D57" s="1230" t="s">
        <v>264</v>
      </c>
      <c r="E57" s="4234">
        <v>32200</v>
      </c>
      <c r="F57" s="4238">
        <v>97036.6</v>
      </c>
      <c r="G57" s="1217" t="s">
        <v>315</v>
      </c>
      <c r="H57" s="3983">
        <v>23167</v>
      </c>
      <c r="I57" s="1218">
        <f>J57+K57</f>
        <v>23167</v>
      </c>
      <c r="J57" s="1219">
        <v>23167</v>
      </c>
      <c r="K57" s="1218"/>
      <c r="L57" s="5466"/>
    </row>
    <row r="58" spans="1:12" s="85" customFormat="1" ht="27.75" customHeight="1">
      <c r="A58" s="97"/>
      <c r="B58" s="5496"/>
      <c r="C58" s="5493"/>
      <c r="D58" s="1230" t="s">
        <v>266</v>
      </c>
      <c r="E58" s="4234">
        <v>1000</v>
      </c>
      <c r="F58" s="4238">
        <v>2835.94</v>
      </c>
      <c r="G58" s="1217" t="s">
        <v>314</v>
      </c>
      <c r="H58" s="3983">
        <v>3302</v>
      </c>
      <c r="I58" s="1218">
        <f>J58+K58</f>
        <v>3302</v>
      </c>
      <c r="J58" s="1219">
        <v>3302</v>
      </c>
      <c r="K58" s="1218"/>
      <c r="L58" s="5466"/>
    </row>
    <row r="59" spans="1:12" s="85" customFormat="1" ht="27.75" customHeight="1">
      <c r="A59" s="97"/>
      <c r="B59" s="5496"/>
      <c r="C59" s="5493"/>
      <c r="D59" s="1230" t="s">
        <v>25</v>
      </c>
      <c r="E59" s="4234">
        <v>200</v>
      </c>
      <c r="F59" s="4238">
        <v>634.73</v>
      </c>
      <c r="G59" s="1217" t="s">
        <v>313</v>
      </c>
      <c r="H59" s="3983">
        <v>10000</v>
      </c>
      <c r="I59" s="1218">
        <f>J59+K59</f>
        <v>0</v>
      </c>
      <c r="J59" s="1219">
        <v>0</v>
      </c>
      <c r="K59" s="1218"/>
      <c r="L59" s="5466"/>
    </row>
    <row r="60" spans="1:12" s="85" customFormat="1" ht="27.75" customHeight="1" thickBot="1">
      <c r="A60" s="4246"/>
      <c r="B60" s="5497"/>
      <c r="C60" s="5498"/>
      <c r="D60" s="1318"/>
      <c r="E60" s="4247"/>
      <c r="F60" s="4139"/>
      <c r="G60" s="1007" t="s">
        <v>322</v>
      </c>
      <c r="H60" s="4248">
        <v>3000</v>
      </c>
      <c r="I60" s="1058">
        <f>J60+K60</f>
        <v>3000</v>
      </c>
      <c r="J60" s="1059">
        <v>3000</v>
      </c>
      <c r="K60" s="1058"/>
      <c r="L60" s="5467"/>
    </row>
    <row r="61" spans="1:12" s="84" customFormat="1" ht="46.5" customHeight="1">
      <c r="A61" s="4217"/>
      <c r="B61" s="4249" t="s">
        <v>351</v>
      </c>
      <c r="C61" s="4250" t="s">
        <v>350</v>
      </c>
      <c r="D61" s="4251"/>
      <c r="E61" s="4252">
        <f>SUM(E62:E64)</f>
        <v>1300</v>
      </c>
      <c r="F61" s="4253">
        <f>SUM(F62:F64)</f>
        <v>2301.83</v>
      </c>
      <c r="G61" s="4252"/>
      <c r="H61" s="4254">
        <f>SUM(H62:H65)</f>
        <v>3703</v>
      </c>
      <c r="I61" s="4255">
        <f>SUM(I62:I65)</f>
        <v>3703</v>
      </c>
      <c r="J61" s="4256">
        <f>SUM(J62:J65)</f>
        <v>3703</v>
      </c>
      <c r="K61" s="1339">
        <f>SUM(K62:K64)</f>
        <v>0</v>
      </c>
      <c r="L61" s="5484" t="s">
        <v>475</v>
      </c>
    </row>
    <row r="62" spans="1:12" s="84" customFormat="1" ht="17.25" customHeight="1">
      <c r="A62" s="97"/>
      <c r="B62" s="5485"/>
      <c r="C62" s="5487"/>
      <c r="D62" s="1230" t="s">
        <v>264</v>
      </c>
      <c r="E62" s="4257">
        <v>100</v>
      </c>
      <c r="F62" s="3980">
        <v>22.2</v>
      </c>
      <c r="G62" s="1357">
        <v>4010</v>
      </c>
      <c r="H62" s="4258">
        <v>2008</v>
      </c>
      <c r="I62" s="4259">
        <f>J62+K62</f>
        <v>2008</v>
      </c>
      <c r="J62" s="1219">
        <v>2008</v>
      </c>
      <c r="K62" s="1218"/>
      <c r="L62" s="5466"/>
    </row>
    <row r="63" spans="1:12" s="84" customFormat="1" ht="17.25" customHeight="1">
      <c r="A63" s="97"/>
      <c r="B63" s="5486"/>
      <c r="C63" s="5488"/>
      <c r="D63" s="1230" t="s">
        <v>38</v>
      </c>
      <c r="E63" s="4257">
        <v>1000</v>
      </c>
      <c r="F63" s="3980">
        <v>1747.32</v>
      </c>
      <c r="G63" s="1357">
        <v>4110</v>
      </c>
      <c r="H63" s="4258">
        <v>345</v>
      </c>
      <c r="I63" s="4259">
        <f>J63+K63</f>
        <v>345</v>
      </c>
      <c r="J63" s="1219">
        <v>345</v>
      </c>
      <c r="K63" s="1218"/>
      <c r="L63" s="5466"/>
    </row>
    <row r="64" spans="1:12" s="84" customFormat="1" ht="17.25" customHeight="1">
      <c r="A64" s="97"/>
      <c r="B64" s="5486"/>
      <c r="C64" s="5488"/>
      <c r="D64" s="1230" t="s">
        <v>25</v>
      </c>
      <c r="E64" s="4257">
        <v>200</v>
      </c>
      <c r="F64" s="3980">
        <v>532.30999999999995</v>
      </c>
      <c r="G64" s="1357">
        <v>4120</v>
      </c>
      <c r="H64" s="4258">
        <v>50</v>
      </c>
      <c r="I64" s="4259">
        <f>J64+K64</f>
        <v>50</v>
      </c>
      <c r="J64" s="1219">
        <v>50</v>
      </c>
      <c r="K64" s="1218"/>
      <c r="L64" s="5466"/>
    </row>
    <row r="65" spans="1:12" s="84" customFormat="1" ht="17.25" customHeight="1">
      <c r="A65" s="97"/>
      <c r="B65" s="179"/>
      <c r="C65" s="180"/>
      <c r="D65" s="1230"/>
      <c r="E65" s="4257"/>
      <c r="F65" s="3980"/>
      <c r="G65" s="1357">
        <v>4700</v>
      </c>
      <c r="H65" s="4258">
        <v>1300</v>
      </c>
      <c r="I65" s="4259">
        <f>J65+K65</f>
        <v>1300</v>
      </c>
      <c r="J65" s="1219">
        <v>1300</v>
      </c>
      <c r="K65" s="1218"/>
      <c r="L65" s="5491"/>
    </row>
    <row r="66" spans="1:12" s="84" customFormat="1" ht="33.75" customHeight="1">
      <c r="A66" s="97"/>
      <c r="B66" s="4239" t="s">
        <v>349</v>
      </c>
      <c r="C66" s="4240" t="s">
        <v>271</v>
      </c>
      <c r="D66" s="1334"/>
      <c r="E66" s="4242">
        <f>SUM(E67:E70)</f>
        <v>100000</v>
      </c>
      <c r="F66" s="4243">
        <f>SUM(F67:F70)</f>
        <v>315573.8</v>
      </c>
      <c r="G66" s="4242"/>
      <c r="H66" s="4244">
        <f>SUM(H67:H70)</f>
        <v>337725</v>
      </c>
      <c r="I66" s="4221">
        <f>SUM(I67:I70)</f>
        <v>337725</v>
      </c>
      <c r="J66" s="1336">
        <f>SUM(J67:J70)</f>
        <v>337725</v>
      </c>
      <c r="K66" s="1340">
        <f>SUM(K67:K70)</f>
        <v>0</v>
      </c>
      <c r="L66" s="5494" t="s">
        <v>474</v>
      </c>
    </row>
    <row r="67" spans="1:12" s="84" customFormat="1" ht="17.25" customHeight="1">
      <c r="A67" s="97"/>
      <c r="B67" s="5485"/>
      <c r="C67" s="5487"/>
      <c r="D67" s="1230" t="s">
        <v>38</v>
      </c>
      <c r="E67" s="4257">
        <v>100000</v>
      </c>
      <c r="F67" s="3980">
        <v>315573.8</v>
      </c>
      <c r="G67" s="1357">
        <v>4010</v>
      </c>
      <c r="H67" s="4258">
        <v>279777</v>
      </c>
      <c r="I67" s="4259">
        <f>J67+K67</f>
        <v>279777</v>
      </c>
      <c r="J67" s="1219">
        <v>279777</v>
      </c>
      <c r="K67" s="1218"/>
      <c r="L67" s="5466"/>
    </row>
    <row r="68" spans="1:12" s="84" customFormat="1" ht="17.25" customHeight="1">
      <c r="A68" s="97"/>
      <c r="B68" s="5486"/>
      <c r="C68" s="5488"/>
      <c r="D68" s="1230"/>
      <c r="E68" s="4257"/>
      <c r="F68" s="3980"/>
      <c r="G68" s="1357">
        <v>4110</v>
      </c>
      <c r="H68" s="4258">
        <v>48094</v>
      </c>
      <c r="I68" s="4259">
        <f>J68+K68</f>
        <v>48094</v>
      </c>
      <c r="J68" s="1219">
        <v>48094</v>
      </c>
      <c r="K68" s="1218"/>
      <c r="L68" s="5466"/>
    </row>
    <row r="69" spans="1:12" s="84" customFormat="1" ht="17.25" customHeight="1">
      <c r="A69" s="97"/>
      <c r="B69" s="5486"/>
      <c r="C69" s="5488"/>
      <c r="D69" s="1230"/>
      <c r="E69" s="4257"/>
      <c r="F69" s="3980"/>
      <c r="G69" s="1357">
        <v>4120</v>
      </c>
      <c r="H69" s="4258">
        <v>6854</v>
      </c>
      <c r="I69" s="4259">
        <f>J69+K69</f>
        <v>6854</v>
      </c>
      <c r="J69" s="1219">
        <v>6854</v>
      </c>
      <c r="K69" s="1218"/>
      <c r="L69" s="5466"/>
    </row>
    <row r="70" spans="1:12" s="84" customFormat="1" ht="17.25" customHeight="1" thickBot="1">
      <c r="A70" s="97"/>
      <c r="B70" s="5486"/>
      <c r="C70" s="5488"/>
      <c r="D70" s="1230"/>
      <c r="E70" s="4257"/>
      <c r="F70" s="3980"/>
      <c r="G70" s="1357">
        <v>4700</v>
      </c>
      <c r="H70" s="4258">
        <v>3000</v>
      </c>
      <c r="I70" s="4259">
        <f>J70+K70</f>
        <v>3000</v>
      </c>
      <c r="J70" s="1219">
        <v>3000</v>
      </c>
      <c r="K70" s="1218"/>
      <c r="L70" s="5466"/>
    </row>
    <row r="71" spans="1:12" ht="44.25" customHeight="1" thickBot="1">
      <c r="A71" s="5489" t="s">
        <v>473</v>
      </c>
      <c r="B71" s="5489"/>
      <c r="C71" s="5490"/>
      <c r="D71" s="4260"/>
      <c r="E71" s="4261">
        <f>SUM(E48,E16,E44,E27,E30,E24,E7)</f>
        <v>21827054</v>
      </c>
      <c r="F71" s="4262">
        <f>SUM(F48,F16,F44,F27,F30,F24,F7)</f>
        <v>29358967.619999997</v>
      </c>
      <c r="G71" s="4263"/>
      <c r="H71" s="4261">
        <f>SUM(H48,H16,H44,H27,H30,H24,H7)</f>
        <v>47509292</v>
      </c>
      <c r="I71" s="4262">
        <f>SUM(I48,I16,I44,I27,I30,I24,I7)</f>
        <v>31072944.310000002</v>
      </c>
      <c r="J71" s="4262">
        <f>SUM(J48,J16,J44,J27,J30,J24,J7)</f>
        <v>8166576.1699999999</v>
      </c>
      <c r="K71" s="4262">
        <f>SUM(K48,K16,K44,K27,K30,K24,K7)</f>
        <v>22906368.140000001</v>
      </c>
      <c r="L71" s="4264"/>
    </row>
    <row r="72" spans="1:12" s="80" customFormat="1">
      <c r="A72" s="83"/>
      <c r="B72" s="83"/>
      <c r="C72" s="82"/>
      <c r="D72" s="82"/>
      <c r="E72" s="81"/>
      <c r="F72" s="81"/>
      <c r="G72" s="81"/>
      <c r="H72" s="81"/>
      <c r="I72" s="81"/>
      <c r="J72" s="81"/>
      <c r="K72" s="81"/>
      <c r="L72" s="81"/>
    </row>
    <row r="73" spans="1:12">
      <c r="I73" s="181"/>
    </row>
    <row r="74" spans="1:12">
      <c r="F74" s="181"/>
      <c r="H74" s="182"/>
      <c r="I74" s="182"/>
      <c r="J74" s="182"/>
      <c r="K74" s="182"/>
    </row>
    <row r="75" spans="1:12">
      <c r="I75" s="182"/>
      <c r="K75" s="182"/>
    </row>
    <row r="76" spans="1:12">
      <c r="L76" s="82"/>
    </row>
    <row r="79" spans="1:12">
      <c r="J79" s="182"/>
    </row>
  </sheetData>
  <mergeCells count="41">
    <mergeCell ref="B67:B70"/>
    <mergeCell ref="C67:C70"/>
    <mergeCell ref="A71:C71"/>
    <mergeCell ref="L49:L54"/>
    <mergeCell ref="C50:C52"/>
    <mergeCell ref="L55:L60"/>
    <mergeCell ref="B56:B60"/>
    <mergeCell ref="C56:C60"/>
    <mergeCell ref="L61:L65"/>
    <mergeCell ref="B62:B64"/>
    <mergeCell ref="C62:C64"/>
    <mergeCell ref="L66:L70"/>
    <mergeCell ref="A28:A29"/>
    <mergeCell ref="L35:L47"/>
    <mergeCell ref="B38:B41"/>
    <mergeCell ref="C38:C41"/>
    <mergeCell ref="A45:A47"/>
    <mergeCell ref="L27:L34"/>
    <mergeCell ref="L7:L15"/>
    <mergeCell ref="L24:L26"/>
    <mergeCell ref="A25:A26"/>
    <mergeCell ref="H5:H6"/>
    <mergeCell ref="I5:I6"/>
    <mergeCell ref="J5:K5"/>
    <mergeCell ref="A8:A15"/>
    <mergeCell ref="B9:B15"/>
    <mergeCell ref="C9:C15"/>
    <mergeCell ref="L16:L19"/>
    <mergeCell ref="A20:A21"/>
    <mergeCell ref="L20:L23"/>
    <mergeCell ref="A22:A23"/>
    <mergeCell ref="A2:L2"/>
    <mergeCell ref="A3:B3"/>
    <mergeCell ref="A4:A6"/>
    <mergeCell ref="B4:B6"/>
    <mergeCell ref="C4:C6"/>
    <mergeCell ref="D4:D6"/>
    <mergeCell ref="E4:F5"/>
    <mergeCell ref="G4:G6"/>
    <mergeCell ref="H4:K4"/>
    <mergeCell ref="L4:L6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Footer>Strona &amp;P z &amp;N</oddFooter>
  </headerFooter>
  <rowBreaks count="2" manualBreakCount="2">
    <brk id="34" max="11" man="1"/>
    <brk id="60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8"/>
  <sheetViews>
    <sheetView view="pageBreakPreview" zoomScale="70" zoomScaleNormal="100" zoomScaleSheetLayoutView="70" zoomScalePageLayoutView="50" workbookViewId="0">
      <pane xSplit="8" ySplit="6" topLeftCell="I7" activePane="bottomRight" state="frozen"/>
      <selection activeCell="O75" sqref="O75"/>
      <selection pane="topRight" activeCell="O75" sqref="O75"/>
      <selection pane="bottomLeft" activeCell="O75" sqref="O75"/>
      <selection pane="bottomRight" activeCell="A2" sqref="A2:L2"/>
    </sheetView>
  </sheetViews>
  <sheetFormatPr defaultRowHeight="14.25"/>
  <cols>
    <col min="1" max="1" width="7.42578125" style="107" customWidth="1"/>
    <col min="2" max="2" width="9.85546875" style="107" customWidth="1"/>
    <col min="3" max="3" width="32.5703125" style="99" customWidth="1"/>
    <col min="4" max="4" width="10.28515625" style="99" customWidth="1"/>
    <col min="5" max="5" width="14.42578125" style="98" customWidth="1"/>
    <col min="6" max="6" width="17.7109375" style="98" customWidth="1"/>
    <col min="7" max="7" width="10.5703125" style="98" customWidth="1"/>
    <col min="8" max="8" width="14.42578125" style="98" customWidth="1"/>
    <col min="9" max="9" width="17.42578125" style="98" customWidth="1"/>
    <col min="10" max="10" width="17.5703125" style="98" customWidth="1"/>
    <col min="11" max="11" width="18" style="98" customWidth="1"/>
    <col min="12" max="12" width="53.7109375" style="81" customWidth="1"/>
    <col min="13" max="13" width="10.7109375" style="79" bestFit="1" customWidth="1"/>
    <col min="14" max="14" width="13.42578125" style="79" bestFit="1" customWidth="1"/>
    <col min="15" max="15" width="10.85546875" style="79" customWidth="1"/>
    <col min="16" max="16384" width="9.140625" style="79"/>
  </cols>
  <sheetData>
    <row r="1" spans="1:15" ht="23.25" customHeight="1">
      <c r="A1" s="5534"/>
      <c r="B1" s="5534"/>
      <c r="C1" s="5534"/>
      <c r="D1" s="5534"/>
      <c r="E1" s="5534"/>
      <c r="F1" s="5534"/>
      <c r="G1" s="5534"/>
      <c r="H1" s="5534"/>
      <c r="I1" s="5534"/>
      <c r="J1" s="5534"/>
      <c r="K1" s="5534"/>
      <c r="L1" s="5534"/>
    </row>
    <row r="2" spans="1:15" ht="45" customHeight="1">
      <c r="A2" s="5448" t="s">
        <v>509</v>
      </c>
      <c r="B2" s="5448"/>
      <c r="C2" s="5448"/>
      <c r="D2" s="5448"/>
      <c r="E2" s="5448"/>
      <c r="F2" s="5448"/>
      <c r="G2" s="5448"/>
      <c r="H2" s="5448"/>
      <c r="I2" s="5448"/>
      <c r="J2" s="5448"/>
      <c r="K2" s="5448"/>
      <c r="L2" s="5448"/>
    </row>
    <row r="3" spans="1:15" ht="27" customHeight="1" thickBot="1">
      <c r="A3" s="5449"/>
      <c r="B3" s="5449"/>
      <c r="C3" s="1195"/>
      <c r="D3" s="1195"/>
      <c r="E3" s="1195"/>
      <c r="F3" s="1195"/>
      <c r="G3" s="1195"/>
      <c r="H3" s="1195"/>
      <c r="I3" s="1195"/>
      <c r="J3" s="1195"/>
      <c r="K3" s="1195"/>
      <c r="L3" s="1196" t="s">
        <v>0</v>
      </c>
    </row>
    <row r="4" spans="1:15" ht="15.75" customHeight="1" thickBot="1">
      <c r="A4" s="5535" t="s">
        <v>1</v>
      </c>
      <c r="B4" s="5536" t="s">
        <v>442</v>
      </c>
      <c r="C4" s="5538" t="s">
        <v>450</v>
      </c>
      <c r="D4" s="5539" t="s">
        <v>4</v>
      </c>
      <c r="E4" s="5540" t="s">
        <v>508</v>
      </c>
      <c r="F4" s="5541"/>
      <c r="G4" s="5539" t="s">
        <v>4</v>
      </c>
      <c r="H4" s="5540" t="s">
        <v>495</v>
      </c>
      <c r="I4" s="5539"/>
      <c r="J4" s="5539"/>
      <c r="K4" s="5559"/>
      <c r="L4" s="5535" t="s">
        <v>507</v>
      </c>
    </row>
    <row r="5" spans="1:15" ht="24.75" customHeight="1" thickBot="1">
      <c r="A5" s="5535"/>
      <c r="B5" s="5537"/>
      <c r="C5" s="5455"/>
      <c r="D5" s="5539"/>
      <c r="E5" s="5542"/>
      <c r="F5" s="5541"/>
      <c r="G5" s="5539"/>
      <c r="H5" s="5564" t="s">
        <v>492</v>
      </c>
      <c r="I5" s="5539" t="s">
        <v>491</v>
      </c>
      <c r="J5" s="5540" t="s">
        <v>493</v>
      </c>
      <c r="K5" s="5559"/>
      <c r="L5" s="5535"/>
    </row>
    <row r="6" spans="1:15" ht="51.75" customHeight="1" thickBot="1">
      <c r="A6" s="5535"/>
      <c r="B6" s="5460"/>
      <c r="C6" s="5456"/>
      <c r="D6" s="5539"/>
      <c r="E6" s="3907" t="s">
        <v>492</v>
      </c>
      <c r="F6" s="3910" t="s">
        <v>491</v>
      </c>
      <c r="G6" s="5539"/>
      <c r="H6" s="5564"/>
      <c r="I6" s="5539"/>
      <c r="J6" s="3908" t="s">
        <v>444</v>
      </c>
      <c r="K6" s="3909" t="s">
        <v>443</v>
      </c>
      <c r="L6" s="5535"/>
    </row>
    <row r="7" spans="1:15" ht="24" customHeight="1" thickBot="1">
      <c r="A7" s="3911" t="s">
        <v>440</v>
      </c>
      <c r="B7" s="3912"/>
      <c r="C7" s="3913" t="s">
        <v>506</v>
      </c>
      <c r="D7" s="3914"/>
      <c r="E7" s="3915">
        <f>SUM(E8,E11,E14)</f>
        <v>27383069</v>
      </c>
      <c r="F7" s="3916">
        <f>SUM(F8,F11,F14)</f>
        <v>26035061.880000003</v>
      </c>
      <c r="G7" s="3915"/>
      <c r="H7" s="3915">
        <f>SUM(H8,H11,H14)</f>
        <v>27383069</v>
      </c>
      <c r="I7" s="3916">
        <f>SUM(I8,I11,I14)</f>
        <v>26035061.879999999</v>
      </c>
      <c r="J7" s="3916">
        <f t="shared" ref="J7:K7" si="0">SUM(J8,J11,J14)</f>
        <v>8414041.9100000001</v>
      </c>
      <c r="K7" s="3916">
        <f t="shared" si="0"/>
        <v>17621019.969999999</v>
      </c>
      <c r="L7" s="3917"/>
      <c r="M7" s="888"/>
    </row>
    <row r="8" spans="1:15" s="102" customFormat="1" ht="38.1" customHeight="1" thickBot="1">
      <c r="A8" s="5560"/>
      <c r="B8" s="3918" t="s">
        <v>439</v>
      </c>
      <c r="C8" s="3919" t="s">
        <v>71</v>
      </c>
      <c r="D8" s="3920"/>
      <c r="E8" s="3921">
        <f>SUM(E9:E10)</f>
        <v>5270915</v>
      </c>
      <c r="F8" s="3922">
        <f>SUM(F9:F10)</f>
        <v>5270914.43</v>
      </c>
      <c r="G8" s="3921"/>
      <c r="H8" s="3921">
        <f>SUM(H9:H10)</f>
        <v>5270915</v>
      </c>
      <c r="I8" s="3922">
        <f>SUM(I9:I10)</f>
        <v>5270914.43</v>
      </c>
      <c r="J8" s="3923">
        <f>SUM(J9:J10)</f>
        <v>5270914.43</v>
      </c>
      <c r="K8" s="3922">
        <f>SUM(K9:K10)</f>
        <v>0</v>
      </c>
      <c r="L8" s="3924"/>
      <c r="N8" s="105"/>
    </row>
    <row r="9" spans="1:15" s="102" customFormat="1" ht="80.25" customHeight="1">
      <c r="A9" s="5510"/>
      <c r="B9" s="5562"/>
      <c r="C9" s="5563"/>
      <c r="D9" s="3925" t="s">
        <v>76</v>
      </c>
      <c r="E9" s="3926">
        <v>83232</v>
      </c>
      <c r="F9" s="3927">
        <v>83231.429999999993</v>
      </c>
      <c r="G9" s="3925" t="s">
        <v>400</v>
      </c>
      <c r="H9" s="3926">
        <v>83232</v>
      </c>
      <c r="I9" s="3928">
        <f>J9</f>
        <v>83231.429999999993</v>
      </c>
      <c r="J9" s="3927">
        <v>83231.429999999993</v>
      </c>
      <c r="K9" s="3929">
        <v>0</v>
      </c>
      <c r="L9" s="3930" t="s">
        <v>505</v>
      </c>
      <c r="O9" s="105"/>
    </row>
    <row r="10" spans="1:15" s="102" customFormat="1" ht="93.75" customHeight="1" thickBot="1">
      <c r="A10" s="5510"/>
      <c r="B10" s="5497"/>
      <c r="C10" s="5498"/>
      <c r="D10" s="784" t="s">
        <v>78</v>
      </c>
      <c r="E10" s="781">
        <v>5187683</v>
      </c>
      <c r="F10" s="782">
        <v>5187683</v>
      </c>
      <c r="G10" s="784" t="s">
        <v>400</v>
      </c>
      <c r="H10" s="781">
        <v>5187683</v>
      </c>
      <c r="I10" s="882">
        <f>J10</f>
        <v>5187683</v>
      </c>
      <c r="J10" s="782">
        <v>5187683</v>
      </c>
      <c r="K10" s="883">
        <v>0</v>
      </c>
      <c r="L10" s="884" t="s">
        <v>504</v>
      </c>
      <c r="O10" s="105"/>
    </row>
    <row r="11" spans="1:15" s="102" customFormat="1" ht="24" customHeight="1" thickBot="1">
      <c r="A11" s="5510"/>
      <c r="B11" s="3918" t="s">
        <v>438</v>
      </c>
      <c r="C11" s="3919" t="s">
        <v>81</v>
      </c>
      <c r="D11" s="3920"/>
      <c r="E11" s="3921">
        <f>SUM(E12:E12)</f>
        <v>7244462</v>
      </c>
      <c r="F11" s="3922">
        <f>SUM(F12:F12)</f>
        <v>7244462</v>
      </c>
      <c r="G11" s="3921"/>
      <c r="H11" s="3921">
        <f>SUM(H12:H13)</f>
        <v>7244462</v>
      </c>
      <c r="I11" s="3922">
        <f>SUM(I12:I13)</f>
        <v>7244462</v>
      </c>
      <c r="J11" s="3922">
        <f>SUM(J12:J13)</f>
        <v>0</v>
      </c>
      <c r="K11" s="3922">
        <f>SUM(K12:K13)</f>
        <v>7244462</v>
      </c>
      <c r="L11" s="3924"/>
      <c r="N11" s="105"/>
    </row>
    <row r="12" spans="1:15" s="102" customFormat="1" ht="53.25" customHeight="1">
      <c r="A12" s="5510"/>
      <c r="B12" s="5547"/>
      <c r="C12" s="5545"/>
      <c r="D12" s="5565" t="s">
        <v>310</v>
      </c>
      <c r="E12" s="5551">
        <v>7244462</v>
      </c>
      <c r="F12" s="5549">
        <v>7244462</v>
      </c>
      <c r="G12" s="3931">
        <v>6050</v>
      </c>
      <c r="H12" s="3932">
        <v>6450212</v>
      </c>
      <c r="I12" s="3928">
        <f>J12+K12</f>
        <v>6450212</v>
      </c>
      <c r="J12" s="3933">
        <v>0</v>
      </c>
      <c r="K12" s="3934">
        <v>6450212</v>
      </c>
      <c r="L12" s="5543" t="s">
        <v>503</v>
      </c>
      <c r="N12" s="105"/>
    </row>
    <row r="13" spans="1:15" s="102" customFormat="1" ht="53.25" customHeight="1" thickBot="1">
      <c r="A13" s="5510"/>
      <c r="B13" s="5548"/>
      <c r="C13" s="5546"/>
      <c r="D13" s="5473"/>
      <c r="E13" s="5552"/>
      <c r="F13" s="5550"/>
      <c r="G13" s="3935">
        <v>6059</v>
      </c>
      <c r="H13" s="3936">
        <v>794250</v>
      </c>
      <c r="I13" s="3937">
        <f>J13+K13</f>
        <v>794250</v>
      </c>
      <c r="J13" s="3938">
        <v>0</v>
      </c>
      <c r="K13" s="3939">
        <v>794250</v>
      </c>
      <c r="L13" s="5544"/>
      <c r="N13" s="105"/>
    </row>
    <row r="14" spans="1:15" s="103" customFormat="1" ht="24" customHeight="1" thickBot="1">
      <c r="A14" s="5510"/>
      <c r="B14" s="3940" t="s">
        <v>433</v>
      </c>
      <c r="C14" s="3941" t="s">
        <v>92</v>
      </c>
      <c r="D14" s="3942"/>
      <c r="E14" s="3943">
        <f>SUM(E15:E18)</f>
        <v>14867692</v>
      </c>
      <c r="F14" s="3944">
        <f>SUM(F15:F18)</f>
        <v>13519685.450000001</v>
      </c>
      <c r="G14" s="3943"/>
      <c r="H14" s="3943">
        <f>SUM(H15:H18)</f>
        <v>14867692</v>
      </c>
      <c r="I14" s="3945">
        <f>SUM(I15:I18)</f>
        <v>13519685.449999999</v>
      </c>
      <c r="J14" s="321">
        <f>SUM(J15:J18)</f>
        <v>3143127.4799999995</v>
      </c>
      <c r="K14" s="3944">
        <f>SUM(K15:K18)</f>
        <v>10376557.970000001</v>
      </c>
      <c r="L14" s="3946"/>
      <c r="O14" s="104"/>
    </row>
    <row r="15" spans="1:15" s="103" customFormat="1" ht="129.75" customHeight="1" thickBot="1">
      <c r="A15" s="5561"/>
      <c r="B15" s="3947"/>
      <c r="C15" s="3948"/>
      <c r="D15" s="3949" t="s">
        <v>78</v>
      </c>
      <c r="E15" s="3950">
        <v>3405000</v>
      </c>
      <c r="F15" s="3951">
        <v>3143127.48</v>
      </c>
      <c r="G15" s="3949" t="s">
        <v>330</v>
      </c>
      <c r="H15" s="3952">
        <v>3405000</v>
      </c>
      <c r="I15" s="322">
        <f>J15+K15</f>
        <v>3143127.4799999995</v>
      </c>
      <c r="J15" s="3953">
        <f>793690.2+2349437.28</f>
        <v>3143127.4799999995</v>
      </c>
      <c r="K15" s="3954"/>
      <c r="L15" s="3955" t="s">
        <v>557</v>
      </c>
      <c r="N15" s="319">
        <f>K15-J15</f>
        <v>-3143127.4799999995</v>
      </c>
      <c r="O15" s="104"/>
    </row>
    <row r="16" spans="1:15" s="102" customFormat="1" ht="84.75" customHeight="1">
      <c r="A16" s="3956"/>
      <c r="B16" s="5502" t="s">
        <v>433</v>
      </c>
      <c r="C16" s="3957"/>
      <c r="D16" s="5502" t="s">
        <v>310</v>
      </c>
      <c r="E16" s="5504">
        <v>11462692</v>
      </c>
      <c r="F16" s="5507">
        <v>10376557.970000001</v>
      </c>
      <c r="G16" s="5502" t="s">
        <v>339</v>
      </c>
      <c r="H16" s="5553">
        <v>11462692</v>
      </c>
      <c r="I16" s="5556">
        <f>J16+K16</f>
        <v>10376557.970000001</v>
      </c>
      <c r="J16" s="5556">
        <v>0</v>
      </c>
      <c r="K16" s="5556">
        <v>10376557.970000001</v>
      </c>
      <c r="L16" s="5531" t="s">
        <v>1095</v>
      </c>
      <c r="M16" s="86"/>
      <c r="N16" s="102" t="s">
        <v>554</v>
      </c>
    </row>
    <row r="17" spans="1:13" s="103" customFormat="1" ht="316.5" customHeight="1">
      <c r="A17" s="119"/>
      <c r="B17" s="5480"/>
      <c r="C17" s="323"/>
      <c r="D17" s="5480"/>
      <c r="E17" s="5505"/>
      <c r="F17" s="5508"/>
      <c r="G17" s="5480"/>
      <c r="H17" s="5554"/>
      <c r="I17" s="5557"/>
      <c r="J17" s="5557"/>
      <c r="K17" s="5557"/>
      <c r="L17" s="5532"/>
    </row>
    <row r="18" spans="1:13" s="102" customFormat="1" ht="80.25" customHeight="1" thickBot="1">
      <c r="A18" s="117"/>
      <c r="B18" s="5503"/>
      <c r="C18" s="325"/>
      <c r="D18" s="5503"/>
      <c r="E18" s="5506"/>
      <c r="F18" s="5509"/>
      <c r="G18" s="5503"/>
      <c r="H18" s="5555"/>
      <c r="I18" s="5558"/>
      <c r="J18" s="5558"/>
      <c r="K18" s="5558"/>
      <c r="L18" s="5533"/>
      <c r="M18" s="86"/>
    </row>
    <row r="19" spans="1:13" ht="24" customHeight="1" thickBot="1">
      <c r="A19" s="362" t="s">
        <v>366</v>
      </c>
      <c r="B19" s="363"/>
      <c r="C19" s="364" t="s">
        <v>248</v>
      </c>
      <c r="D19" s="365"/>
      <c r="E19" s="366">
        <f>SUM(E20)</f>
        <v>6751955</v>
      </c>
      <c r="F19" s="1045">
        <f>SUM(F20)</f>
        <v>5283715.96</v>
      </c>
      <c r="G19" s="366"/>
      <c r="H19" s="1046">
        <f>SUM(H20)</f>
        <v>6751955</v>
      </c>
      <c r="I19" s="367">
        <f>SUM(I20)</f>
        <v>5283715.96</v>
      </c>
      <c r="J19" s="433">
        <f>SUM(J20)</f>
        <v>5283715.96</v>
      </c>
      <c r="K19" s="367">
        <f>SUM(K20,K20)</f>
        <v>0</v>
      </c>
      <c r="L19" s="369"/>
    </row>
    <row r="20" spans="1:13" ht="38.1" customHeight="1" thickBot="1">
      <c r="A20" s="5514"/>
      <c r="B20" s="3958" t="s">
        <v>361</v>
      </c>
      <c r="C20" s="3959" t="s">
        <v>360</v>
      </c>
      <c r="D20" s="3940"/>
      <c r="E20" s="3960">
        <f>SUM(E21)</f>
        <v>6751955</v>
      </c>
      <c r="F20" s="3961">
        <f>SUM(F21)</f>
        <v>5283715.96</v>
      </c>
      <c r="G20" s="3960"/>
      <c r="H20" s="3960">
        <f>H21</f>
        <v>6751955</v>
      </c>
      <c r="I20" s="3961">
        <f>SUM(I21)</f>
        <v>5283715.96</v>
      </c>
      <c r="J20" s="3962">
        <f>SUM(J21)</f>
        <v>5283715.96</v>
      </c>
      <c r="K20" s="3961">
        <f>SUM(K21)</f>
        <v>0</v>
      </c>
      <c r="L20" s="3963"/>
    </row>
    <row r="21" spans="1:13" ht="51.75" customHeight="1">
      <c r="A21" s="5511"/>
      <c r="B21" s="5516"/>
      <c r="C21" s="5519"/>
      <c r="D21" s="5502" t="s">
        <v>253</v>
      </c>
      <c r="E21" s="5522">
        <v>6751955</v>
      </c>
      <c r="F21" s="5525">
        <v>5283715.96</v>
      </c>
      <c r="G21" s="5502" t="s">
        <v>91</v>
      </c>
      <c r="H21" s="5522">
        <v>6751955</v>
      </c>
      <c r="I21" s="5525">
        <f>SUM(J21:K23)</f>
        <v>5283715.96</v>
      </c>
      <c r="J21" s="5525">
        <v>5283715.96</v>
      </c>
      <c r="K21" s="5525">
        <v>0</v>
      </c>
      <c r="L21" s="5528" t="s">
        <v>1079</v>
      </c>
      <c r="M21" s="80"/>
    </row>
    <row r="22" spans="1:13" ht="51.75" customHeight="1">
      <c r="A22" s="5511"/>
      <c r="B22" s="5517"/>
      <c r="C22" s="5520"/>
      <c r="D22" s="5480"/>
      <c r="E22" s="5523"/>
      <c r="F22" s="5526"/>
      <c r="G22" s="5480"/>
      <c r="H22" s="5523"/>
      <c r="I22" s="5526"/>
      <c r="J22" s="5526"/>
      <c r="K22" s="5526"/>
      <c r="L22" s="5529"/>
      <c r="M22" s="80"/>
    </row>
    <row r="23" spans="1:13" ht="409.6" customHeight="1" thickBot="1">
      <c r="A23" s="5515"/>
      <c r="B23" s="5518"/>
      <c r="C23" s="5521"/>
      <c r="D23" s="5503"/>
      <c r="E23" s="5524"/>
      <c r="F23" s="5527"/>
      <c r="G23" s="5503"/>
      <c r="H23" s="5524"/>
      <c r="I23" s="5527"/>
      <c r="J23" s="5527"/>
      <c r="K23" s="5527"/>
      <c r="L23" s="5530"/>
      <c r="M23" s="80"/>
    </row>
    <row r="24" spans="1:13" s="101" customFormat="1" ht="30.75" thickBot="1">
      <c r="A24" s="362" t="s">
        <v>347</v>
      </c>
      <c r="B24" s="363"/>
      <c r="C24" s="364" t="s">
        <v>273</v>
      </c>
      <c r="D24" s="365"/>
      <c r="E24" s="366">
        <f>SUM(E25,E30,E27)</f>
        <v>984432</v>
      </c>
      <c r="F24" s="367">
        <f>SUM(F25,F30,F27)</f>
        <v>984432</v>
      </c>
      <c r="G24" s="366"/>
      <c r="H24" s="366">
        <f>SUM(H25,H30,H27)</f>
        <v>984432</v>
      </c>
      <c r="I24" s="367">
        <f>SUM(I25,I30,I27)</f>
        <v>984432</v>
      </c>
      <c r="J24" s="368">
        <f>SUM(J25,J30,J27)</f>
        <v>984432</v>
      </c>
      <c r="K24" s="368">
        <f>SUM(K25,K30,K27)</f>
        <v>0</v>
      </c>
      <c r="L24" s="369"/>
      <c r="M24" s="370"/>
    </row>
    <row r="25" spans="1:13" s="101" customFormat="1" ht="35.25" customHeight="1" thickBot="1">
      <c r="A25" s="5510"/>
      <c r="B25" s="326">
        <v>92108</v>
      </c>
      <c r="C25" s="327" t="s">
        <v>278</v>
      </c>
      <c r="D25" s="320"/>
      <c r="E25" s="328">
        <f>SUM(E26)</f>
        <v>50000</v>
      </c>
      <c r="F25" s="329">
        <f>SUM(F26)</f>
        <v>50000</v>
      </c>
      <c r="G25" s="328"/>
      <c r="H25" s="330">
        <f>SUM(H26)</f>
        <v>50000</v>
      </c>
      <c r="I25" s="331">
        <f>SUM(J25:K25)</f>
        <v>50000</v>
      </c>
      <c r="J25" s="332">
        <f>SUM(J26)</f>
        <v>50000</v>
      </c>
      <c r="K25" s="333">
        <f>SUM(K26)</f>
        <v>0</v>
      </c>
      <c r="L25" s="334"/>
    </row>
    <row r="26" spans="1:13" s="101" customFormat="1" ht="74.25" customHeight="1" thickBot="1">
      <c r="A26" s="5510"/>
      <c r="B26" s="335"/>
      <c r="C26" s="336"/>
      <c r="D26" s="324" t="s">
        <v>78</v>
      </c>
      <c r="E26" s="337">
        <v>50000</v>
      </c>
      <c r="F26" s="338">
        <v>50000</v>
      </c>
      <c r="G26" s="324" t="s">
        <v>341</v>
      </c>
      <c r="H26" s="337">
        <v>50000</v>
      </c>
      <c r="I26" s="339">
        <f>J26</f>
        <v>50000</v>
      </c>
      <c r="J26" s="338">
        <v>50000</v>
      </c>
      <c r="K26" s="339">
        <v>0</v>
      </c>
      <c r="L26" s="340" t="s">
        <v>501</v>
      </c>
    </row>
    <row r="27" spans="1:13" s="342" customFormat="1" ht="24" customHeight="1" thickBot="1">
      <c r="A27" s="5511"/>
      <c r="B27" s="351">
        <v>92116</v>
      </c>
      <c r="C27" s="352" t="s">
        <v>344</v>
      </c>
      <c r="D27" s="353"/>
      <c r="E27" s="354">
        <f>SUM(E28:E29)</f>
        <v>920832</v>
      </c>
      <c r="F27" s="355">
        <f>SUM(F28:F29)</f>
        <v>920832</v>
      </c>
      <c r="G27" s="354"/>
      <c r="H27" s="356">
        <f>SUM(H28:H29)</f>
        <v>920832</v>
      </c>
      <c r="I27" s="357">
        <f>SUM(J27:K27)</f>
        <v>920832</v>
      </c>
      <c r="J27" s="358">
        <f>SUM(J28:J29)</f>
        <v>920832</v>
      </c>
      <c r="K27" s="359">
        <f>SUM(K28:K29)</f>
        <v>0</v>
      </c>
      <c r="L27" s="334"/>
    </row>
    <row r="28" spans="1:13" s="101" customFormat="1" ht="69" customHeight="1">
      <c r="A28" s="5511"/>
      <c r="B28" s="5512"/>
      <c r="C28" s="5513"/>
      <c r="D28" s="345" t="s">
        <v>436</v>
      </c>
      <c r="E28" s="343">
        <v>835832</v>
      </c>
      <c r="F28" s="344">
        <v>835832</v>
      </c>
      <c r="G28" s="345" t="s">
        <v>342</v>
      </c>
      <c r="H28" s="360">
        <v>835832</v>
      </c>
      <c r="I28" s="344">
        <f>J28</f>
        <v>835832</v>
      </c>
      <c r="J28" s="361">
        <v>835832</v>
      </c>
      <c r="K28" s="346">
        <v>0</v>
      </c>
      <c r="L28" s="347" t="s">
        <v>500</v>
      </c>
    </row>
    <row r="29" spans="1:13" s="101" customFormat="1" ht="81" customHeight="1" thickBot="1">
      <c r="A29" s="5511"/>
      <c r="B29" s="5503"/>
      <c r="C29" s="5477"/>
      <c r="D29" s="348" t="s">
        <v>253</v>
      </c>
      <c r="E29" s="337">
        <v>85000</v>
      </c>
      <c r="F29" s="338">
        <v>85000</v>
      </c>
      <c r="G29" s="324" t="s">
        <v>341</v>
      </c>
      <c r="H29" s="349">
        <v>85000</v>
      </c>
      <c r="I29" s="350">
        <f>J29</f>
        <v>85000</v>
      </c>
      <c r="J29" s="338">
        <v>85000</v>
      </c>
      <c r="K29" s="339">
        <v>0</v>
      </c>
      <c r="L29" s="340" t="s">
        <v>499</v>
      </c>
    </row>
    <row r="30" spans="1:13" s="101" customFormat="1" ht="29.25" customHeight="1" thickBot="1">
      <c r="A30" s="341"/>
      <c r="B30" s="371" t="s">
        <v>340</v>
      </c>
      <c r="C30" s="372" t="s">
        <v>287</v>
      </c>
      <c r="D30" s="373"/>
      <c r="E30" s="374">
        <f>SUM(E31)</f>
        <v>13600</v>
      </c>
      <c r="F30" s="375">
        <f>SUM(F31)</f>
        <v>13600</v>
      </c>
      <c r="G30" s="374"/>
      <c r="H30" s="376">
        <f>SUM(H31)</f>
        <v>13600</v>
      </c>
      <c r="I30" s="377">
        <f>SUM(J30:K30)</f>
        <v>13600</v>
      </c>
      <c r="J30" s="378">
        <f>SUM(J31)</f>
        <v>13600</v>
      </c>
      <c r="K30" s="379">
        <f>SUM(K31)</f>
        <v>0</v>
      </c>
      <c r="L30" s="380"/>
    </row>
    <row r="31" spans="1:13" s="101" customFormat="1" ht="65.25" customHeight="1" thickBot="1">
      <c r="A31" s="341"/>
      <c r="B31" s="335"/>
      <c r="C31" s="336"/>
      <c r="D31" s="324" t="s">
        <v>78</v>
      </c>
      <c r="E31" s="337">
        <v>13600</v>
      </c>
      <c r="F31" s="338">
        <v>13600</v>
      </c>
      <c r="G31" s="324" t="s">
        <v>341</v>
      </c>
      <c r="H31" s="349">
        <v>13600</v>
      </c>
      <c r="I31" s="350">
        <f>J31</f>
        <v>13600</v>
      </c>
      <c r="J31" s="338">
        <v>13600</v>
      </c>
      <c r="K31" s="339">
        <v>0</v>
      </c>
      <c r="L31" s="340" t="s">
        <v>555</v>
      </c>
    </row>
    <row r="32" spans="1:13" ht="36.75" customHeight="1" thickBot="1">
      <c r="A32" s="5499" t="s">
        <v>498</v>
      </c>
      <c r="B32" s="5500"/>
      <c r="C32" s="5500"/>
      <c r="D32" s="5501"/>
      <c r="E32" s="1191">
        <f>SUM(E7,E19,E24)</f>
        <v>35119456</v>
      </c>
      <c r="F32" s="1192">
        <f>SUM(F7,F19,F24)</f>
        <v>32303209.840000004</v>
      </c>
      <c r="G32" s="1191"/>
      <c r="H32" s="1191">
        <f>SUM(H7,H19,H24)</f>
        <v>35119456</v>
      </c>
      <c r="I32" s="1192">
        <f>SUM(I7,I19,I24)</f>
        <v>32303209.84</v>
      </c>
      <c r="J32" s="1192">
        <f t="shared" ref="J32:K32" si="1">SUM(J7,J19,J24)</f>
        <v>14682189.870000001</v>
      </c>
      <c r="K32" s="1192">
        <f t="shared" si="1"/>
        <v>17621019.969999999</v>
      </c>
      <c r="L32" s="1193"/>
    </row>
    <row r="34" spans="5:11">
      <c r="J34" s="111"/>
    </row>
    <row r="35" spans="5:11">
      <c r="E35" s="111"/>
      <c r="F35" s="111"/>
      <c r="G35" s="111"/>
      <c r="H35" s="111"/>
      <c r="I35" s="111"/>
      <c r="J35" s="111"/>
      <c r="K35" s="111"/>
    </row>
    <row r="36" spans="5:11">
      <c r="E36" s="111"/>
      <c r="F36" s="111"/>
      <c r="G36" s="111"/>
      <c r="H36" s="111"/>
      <c r="I36" s="111"/>
      <c r="J36" s="111"/>
      <c r="K36" s="111"/>
    </row>
    <row r="37" spans="5:11">
      <c r="E37" s="111"/>
      <c r="F37" s="111"/>
      <c r="G37" s="111"/>
      <c r="H37" s="111"/>
      <c r="I37" s="111"/>
      <c r="J37" s="111"/>
    </row>
    <row r="38" spans="5:11">
      <c r="J38" s="111"/>
    </row>
  </sheetData>
  <mergeCells count="50">
    <mergeCell ref="A8:A15"/>
    <mergeCell ref="B9:B10"/>
    <mergeCell ref="C9:C10"/>
    <mergeCell ref="H4:K4"/>
    <mergeCell ref="L4:L6"/>
    <mergeCell ref="H5:H6"/>
    <mergeCell ref="D12:D13"/>
    <mergeCell ref="H16:H18"/>
    <mergeCell ref="I16:I18"/>
    <mergeCell ref="K16:K18"/>
    <mergeCell ref="I5:I6"/>
    <mergeCell ref="J5:K5"/>
    <mergeCell ref="J16:J18"/>
    <mergeCell ref="L21:L23"/>
    <mergeCell ref="L16:L18"/>
    <mergeCell ref="A1:L1"/>
    <mergeCell ref="A2:L2"/>
    <mergeCell ref="A3:B3"/>
    <mergeCell ref="A4:A6"/>
    <mergeCell ref="B4:B6"/>
    <mergeCell ref="C4:C6"/>
    <mergeCell ref="D4:D6"/>
    <mergeCell ref="E4:F5"/>
    <mergeCell ref="G4:G6"/>
    <mergeCell ref="L12:L13"/>
    <mergeCell ref="C12:C13"/>
    <mergeCell ref="B12:B13"/>
    <mergeCell ref="F12:F13"/>
    <mergeCell ref="E12:E13"/>
    <mergeCell ref="G21:G23"/>
    <mergeCell ref="H21:H23"/>
    <mergeCell ref="I21:I23"/>
    <mergeCell ref="J21:J23"/>
    <mergeCell ref="K21:K23"/>
    <mergeCell ref="A32:D32"/>
    <mergeCell ref="B16:B18"/>
    <mergeCell ref="G16:G18"/>
    <mergeCell ref="D16:D18"/>
    <mergeCell ref="E16:E18"/>
    <mergeCell ref="F16:F18"/>
    <mergeCell ref="A25:A26"/>
    <mergeCell ref="A27:A29"/>
    <mergeCell ref="B28:B29"/>
    <mergeCell ref="C28:C29"/>
    <mergeCell ref="A20:A23"/>
    <mergeCell ref="B21:B23"/>
    <mergeCell ref="C21:C23"/>
    <mergeCell ref="D21:D23"/>
    <mergeCell ref="E21:E23"/>
    <mergeCell ref="F21:F23"/>
  </mergeCells>
  <printOptions horizontalCentered="1"/>
  <pageMargins left="0.25" right="0.25" top="0.75" bottom="0.75" header="0.3" footer="0.3"/>
  <pageSetup paperSize="9" scale="63" fitToHeight="0" orientation="landscape" r:id="rId1"/>
  <headerFooter>
    <oddFooter>Strona &amp;P z &amp;N</oddFooter>
  </headerFooter>
  <rowBreaks count="3" manualBreakCount="3">
    <brk id="15" max="11" man="1"/>
    <brk id="18" max="11" man="1"/>
    <brk id="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29"/>
  <sheetViews>
    <sheetView view="pageBreakPreview" zoomScale="70" zoomScaleNormal="100" zoomScaleSheetLayoutView="70" workbookViewId="0">
      <pane ySplit="6" topLeftCell="A7" activePane="bottomLeft" state="frozen"/>
      <selection activeCell="A42" sqref="A42:H71"/>
      <selection pane="bottomLeft" activeCell="A2" sqref="A2:I2"/>
    </sheetView>
  </sheetViews>
  <sheetFormatPr defaultRowHeight="14.25"/>
  <cols>
    <col min="1" max="1" width="7.42578125" style="107" customWidth="1"/>
    <col min="2" max="2" width="11" style="107" customWidth="1"/>
    <col min="3" max="3" width="33.7109375" style="99" customWidth="1"/>
    <col min="4" max="4" width="11.42578125" style="98" customWidth="1"/>
    <col min="5" max="5" width="15" style="98" customWidth="1"/>
    <col min="6" max="6" width="16.85546875" style="98" customWidth="1"/>
    <col min="7" max="7" width="16.7109375" style="98" customWidth="1"/>
    <col min="8" max="8" width="16.5703125" style="98" customWidth="1"/>
    <col min="9" max="9" width="78.140625" style="106" customWidth="1"/>
    <col min="10" max="254" width="9.140625" style="80"/>
    <col min="255" max="255" width="7" style="80" customWidth="1"/>
    <col min="256" max="256" width="10.7109375" style="80" customWidth="1"/>
    <col min="257" max="257" width="15.7109375" style="80" customWidth="1"/>
    <col min="258" max="259" width="13.42578125" style="80" customWidth="1"/>
    <col min="260" max="260" width="17.85546875" style="80" customWidth="1"/>
    <col min="261" max="261" width="16" style="80" customWidth="1"/>
    <col min="262" max="262" width="43.42578125" style="80" customWidth="1"/>
    <col min="263" max="510" width="9.140625" style="80"/>
    <col min="511" max="511" width="7" style="80" customWidth="1"/>
    <col min="512" max="512" width="10.7109375" style="80" customWidth="1"/>
    <col min="513" max="513" width="15.7109375" style="80" customWidth="1"/>
    <col min="514" max="515" width="13.42578125" style="80" customWidth="1"/>
    <col min="516" max="516" width="17.85546875" style="80" customWidth="1"/>
    <col min="517" max="517" width="16" style="80" customWidth="1"/>
    <col min="518" max="518" width="43.42578125" style="80" customWidth="1"/>
    <col min="519" max="766" width="9.140625" style="80"/>
    <col min="767" max="767" width="7" style="80" customWidth="1"/>
    <col min="768" max="768" width="10.7109375" style="80" customWidth="1"/>
    <col min="769" max="769" width="15.7109375" style="80" customWidth="1"/>
    <col min="770" max="771" width="13.42578125" style="80" customWidth="1"/>
    <col min="772" max="772" width="17.85546875" style="80" customWidth="1"/>
    <col min="773" max="773" width="16" style="80" customWidth="1"/>
    <col min="774" max="774" width="43.42578125" style="80" customWidth="1"/>
    <col min="775" max="1022" width="9.140625" style="80"/>
    <col min="1023" max="1023" width="7" style="80" customWidth="1"/>
    <col min="1024" max="1024" width="10.7109375" style="80" customWidth="1"/>
    <col min="1025" max="1025" width="15.7109375" style="80" customWidth="1"/>
    <col min="1026" max="1027" width="13.42578125" style="80" customWidth="1"/>
    <col min="1028" max="1028" width="17.85546875" style="80" customWidth="1"/>
    <col min="1029" max="1029" width="16" style="80" customWidth="1"/>
    <col min="1030" max="1030" width="43.42578125" style="80" customWidth="1"/>
    <col min="1031" max="1278" width="9.140625" style="80"/>
    <col min="1279" max="1279" width="7" style="80" customWidth="1"/>
    <col min="1280" max="1280" width="10.7109375" style="80" customWidth="1"/>
    <col min="1281" max="1281" width="15.7109375" style="80" customWidth="1"/>
    <col min="1282" max="1283" width="13.42578125" style="80" customWidth="1"/>
    <col min="1284" max="1284" width="17.85546875" style="80" customWidth="1"/>
    <col min="1285" max="1285" width="16" style="80" customWidth="1"/>
    <col min="1286" max="1286" width="43.42578125" style="80" customWidth="1"/>
    <col min="1287" max="1534" width="9.140625" style="80"/>
    <col min="1535" max="1535" width="7" style="80" customWidth="1"/>
    <col min="1536" max="1536" width="10.7109375" style="80" customWidth="1"/>
    <col min="1537" max="1537" width="15.7109375" style="80" customWidth="1"/>
    <col min="1538" max="1539" width="13.42578125" style="80" customWidth="1"/>
    <col min="1540" max="1540" width="17.85546875" style="80" customWidth="1"/>
    <col min="1541" max="1541" width="16" style="80" customWidth="1"/>
    <col min="1542" max="1542" width="43.42578125" style="80" customWidth="1"/>
    <col min="1543" max="1790" width="9.140625" style="80"/>
    <col min="1791" max="1791" width="7" style="80" customWidth="1"/>
    <col min="1792" max="1792" width="10.7109375" style="80" customWidth="1"/>
    <col min="1793" max="1793" width="15.7109375" style="80" customWidth="1"/>
    <col min="1794" max="1795" width="13.42578125" style="80" customWidth="1"/>
    <col min="1796" max="1796" width="17.85546875" style="80" customWidth="1"/>
    <col min="1797" max="1797" width="16" style="80" customWidth="1"/>
    <col min="1798" max="1798" width="43.42578125" style="80" customWidth="1"/>
    <col min="1799" max="2046" width="9.140625" style="80"/>
    <col min="2047" max="2047" width="7" style="80" customWidth="1"/>
    <col min="2048" max="2048" width="10.7109375" style="80" customWidth="1"/>
    <col min="2049" max="2049" width="15.7109375" style="80" customWidth="1"/>
    <col min="2050" max="2051" width="13.42578125" style="80" customWidth="1"/>
    <col min="2052" max="2052" width="17.85546875" style="80" customWidth="1"/>
    <col min="2053" max="2053" width="16" style="80" customWidth="1"/>
    <col min="2054" max="2054" width="43.42578125" style="80" customWidth="1"/>
    <col min="2055" max="2302" width="9.140625" style="80"/>
    <col min="2303" max="2303" width="7" style="80" customWidth="1"/>
    <col min="2304" max="2304" width="10.7109375" style="80" customWidth="1"/>
    <col min="2305" max="2305" width="15.7109375" style="80" customWidth="1"/>
    <col min="2306" max="2307" width="13.42578125" style="80" customWidth="1"/>
    <col min="2308" max="2308" width="17.85546875" style="80" customWidth="1"/>
    <col min="2309" max="2309" width="16" style="80" customWidth="1"/>
    <col min="2310" max="2310" width="43.42578125" style="80" customWidth="1"/>
    <col min="2311" max="2558" width="9.140625" style="80"/>
    <col min="2559" max="2559" width="7" style="80" customWidth="1"/>
    <col min="2560" max="2560" width="10.7109375" style="80" customWidth="1"/>
    <col min="2561" max="2561" width="15.7109375" style="80" customWidth="1"/>
    <col min="2562" max="2563" width="13.42578125" style="80" customWidth="1"/>
    <col min="2564" max="2564" width="17.85546875" style="80" customWidth="1"/>
    <col min="2565" max="2565" width="16" style="80" customWidth="1"/>
    <col min="2566" max="2566" width="43.42578125" style="80" customWidth="1"/>
    <col min="2567" max="2814" width="9.140625" style="80"/>
    <col min="2815" max="2815" width="7" style="80" customWidth="1"/>
    <col min="2816" max="2816" width="10.7109375" style="80" customWidth="1"/>
    <col min="2817" max="2817" width="15.7109375" style="80" customWidth="1"/>
    <col min="2818" max="2819" width="13.42578125" style="80" customWidth="1"/>
    <col min="2820" max="2820" width="17.85546875" style="80" customWidth="1"/>
    <col min="2821" max="2821" width="16" style="80" customWidth="1"/>
    <col min="2822" max="2822" width="43.42578125" style="80" customWidth="1"/>
    <col min="2823" max="3070" width="9.140625" style="80"/>
    <col min="3071" max="3071" width="7" style="80" customWidth="1"/>
    <col min="3072" max="3072" width="10.7109375" style="80" customWidth="1"/>
    <col min="3073" max="3073" width="15.7109375" style="80" customWidth="1"/>
    <col min="3074" max="3075" width="13.42578125" style="80" customWidth="1"/>
    <col min="3076" max="3076" width="17.85546875" style="80" customWidth="1"/>
    <col min="3077" max="3077" width="16" style="80" customWidth="1"/>
    <col min="3078" max="3078" width="43.42578125" style="80" customWidth="1"/>
    <col min="3079" max="3326" width="9.140625" style="80"/>
    <col min="3327" max="3327" width="7" style="80" customWidth="1"/>
    <col min="3328" max="3328" width="10.7109375" style="80" customWidth="1"/>
    <col min="3329" max="3329" width="15.7109375" style="80" customWidth="1"/>
    <col min="3330" max="3331" width="13.42578125" style="80" customWidth="1"/>
    <col min="3332" max="3332" width="17.85546875" style="80" customWidth="1"/>
    <col min="3333" max="3333" width="16" style="80" customWidth="1"/>
    <col min="3334" max="3334" width="43.42578125" style="80" customWidth="1"/>
    <col min="3335" max="3582" width="9.140625" style="80"/>
    <col min="3583" max="3583" width="7" style="80" customWidth="1"/>
    <col min="3584" max="3584" width="10.7109375" style="80" customWidth="1"/>
    <col min="3585" max="3585" width="15.7109375" style="80" customWidth="1"/>
    <col min="3586" max="3587" width="13.42578125" style="80" customWidth="1"/>
    <col min="3588" max="3588" width="17.85546875" style="80" customWidth="1"/>
    <col min="3589" max="3589" width="16" style="80" customWidth="1"/>
    <col min="3590" max="3590" width="43.42578125" style="80" customWidth="1"/>
    <col min="3591" max="3838" width="9.140625" style="80"/>
    <col min="3839" max="3839" width="7" style="80" customWidth="1"/>
    <col min="3840" max="3840" width="10.7109375" style="80" customWidth="1"/>
    <col min="3841" max="3841" width="15.7109375" style="80" customWidth="1"/>
    <col min="3842" max="3843" width="13.42578125" style="80" customWidth="1"/>
    <col min="3844" max="3844" width="17.85546875" style="80" customWidth="1"/>
    <col min="3845" max="3845" width="16" style="80" customWidth="1"/>
    <col min="3846" max="3846" width="43.42578125" style="80" customWidth="1"/>
    <col min="3847" max="4094" width="9.140625" style="80"/>
    <col min="4095" max="4095" width="7" style="80" customWidth="1"/>
    <col min="4096" max="4096" width="10.7109375" style="80" customWidth="1"/>
    <col min="4097" max="4097" width="15.7109375" style="80" customWidth="1"/>
    <col min="4098" max="4099" width="13.42578125" style="80" customWidth="1"/>
    <col min="4100" max="4100" width="17.85546875" style="80" customWidth="1"/>
    <col min="4101" max="4101" width="16" style="80" customWidth="1"/>
    <col min="4102" max="4102" width="43.42578125" style="80" customWidth="1"/>
    <col min="4103" max="4350" width="9.140625" style="80"/>
    <col min="4351" max="4351" width="7" style="80" customWidth="1"/>
    <col min="4352" max="4352" width="10.7109375" style="80" customWidth="1"/>
    <col min="4353" max="4353" width="15.7109375" style="80" customWidth="1"/>
    <col min="4354" max="4355" width="13.42578125" style="80" customWidth="1"/>
    <col min="4356" max="4356" width="17.85546875" style="80" customWidth="1"/>
    <col min="4357" max="4357" width="16" style="80" customWidth="1"/>
    <col min="4358" max="4358" width="43.42578125" style="80" customWidth="1"/>
    <col min="4359" max="4606" width="9.140625" style="80"/>
    <col min="4607" max="4607" width="7" style="80" customWidth="1"/>
    <col min="4608" max="4608" width="10.7109375" style="80" customWidth="1"/>
    <col min="4609" max="4609" width="15.7109375" style="80" customWidth="1"/>
    <col min="4610" max="4611" width="13.42578125" style="80" customWidth="1"/>
    <col min="4612" max="4612" width="17.85546875" style="80" customWidth="1"/>
    <col min="4613" max="4613" width="16" style="80" customWidth="1"/>
    <col min="4614" max="4614" width="43.42578125" style="80" customWidth="1"/>
    <col min="4615" max="4862" width="9.140625" style="80"/>
    <col min="4863" max="4863" width="7" style="80" customWidth="1"/>
    <col min="4864" max="4864" width="10.7109375" style="80" customWidth="1"/>
    <col min="4865" max="4865" width="15.7109375" style="80" customWidth="1"/>
    <col min="4866" max="4867" width="13.42578125" style="80" customWidth="1"/>
    <col min="4868" max="4868" width="17.85546875" style="80" customWidth="1"/>
    <col min="4869" max="4869" width="16" style="80" customWidth="1"/>
    <col min="4870" max="4870" width="43.42578125" style="80" customWidth="1"/>
    <col min="4871" max="5118" width="9.140625" style="80"/>
    <col min="5119" max="5119" width="7" style="80" customWidth="1"/>
    <col min="5120" max="5120" width="10.7109375" style="80" customWidth="1"/>
    <col min="5121" max="5121" width="15.7109375" style="80" customWidth="1"/>
    <col min="5122" max="5123" width="13.42578125" style="80" customWidth="1"/>
    <col min="5124" max="5124" width="17.85546875" style="80" customWidth="1"/>
    <col min="5125" max="5125" width="16" style="80" customWidth="1"/>
    <col min="5126" max="5126" width="43.42578125" style="80" customWidth="1"/>
    <col min="5127" max="5374" width="9.140625" style="80"/>
    <col min="5375" max="5375" width="7" style="80" customWidth="1"/>
    <col min="5376" max="5376" width="10.7109375" style="80" customWidth="1"/>
    <col min="5377" max="5377" width="15.7109375" style="80" customWidth="1"/>
    <col min="5378" max="5379" width="13.42578125" style="80" customWidth="1"/>
    <col min="5380" max="5380" width="17.85546875" style="80" customWidth="1"/>
    <col min="5381" max="5381" width="16" style="80" customWidth="1"/>
    <col min="5382" max="5382" width="43.42578125" style="80" customWidth="1"/>
    <col min="5383" max="5630" width="9.140625" style="80"/>
    <col min="5631" max="5631" width="7" style="80" customWidth="1"/>
    <col min="5632" max="5632" width="10.7109375" style="80" customWidth="1"/>
    <col min="5633" max="5633" width="15.7109375" style="80" customWidth="1"/>
    <col min="5634" max="5635" width="13.42578125" style="80" customWidth="1"/>
    <col min="5636" max="5636" width="17.85546875" style="80" customWidth="1"/>
    <col min="5637" max="5637" width="16" style="80" customWidth="1"/>
    <col min="5638" max="5638" width="43.42578125" style="80" customWidth="1"/>
    <col min="5639" max="5886" width="9.140625" style="80"/>
    <col min="5887" max="5887" width="7" style="80" customWidth="1"/>
    <col min="5888" max="5888" width="10.7109375" style="80" customWidth="1"/>
    <col min="5889" max="5889" width="15.7109375" style="80" customWidth="1"/>
    <col min="5890" max="5891" width="13.42578125" style="80" customWidth="1"/>
    <col min="5892" max="5892" width="17.85546875" style="80" customWidth="1"/>
    <col min="5893" max="5893" width="16" style="80" customWidth="1"/>
    <col min="5894" max="5894" width="43.42578125" style="80" customWidth="1"/>
    <col min="5895" max="6142" width="9.140625" style="80"/>
    <col min="6143" max="6143" width="7" style="80" customWidth="1"/>
    <col min="6144" max="6144" width="10.7109375" style="80" customWidth="1"/>
    <col min="6145" max="6145" width="15.7109375" style="80" customWidth="1"/>
    <col min="6146" max="6147" width="13.42578125" style="80" customWidth="1"/>
    <col min="6148" max="6148" width="17.85546875" style="80" customWidth="1"/>
    <col min="6149" max="6149" width="16" style="80" customWidth="1"/>
    <col min="6150" max="6150" width="43.42578125" style="80" customWidth="1"/>
    <col min="6151" max="6398" width="9.140625" style="80"/>
    <col min="6399" max="6399" width="7" style="80" customWidth="1"/>
    <col min="6400" max="6400" width="10.7109375" style="80" customWidth="1"/>
    <col min="6401" max="6401" width="15.7109375" style="80" customWidth="1"/>
    <col min="6402" max="6403" width="13.42578125" style="80" customWidth="1"/>
    <col min="6404" max="6404" width="17.85546875" style="80" customWidth="1"/>
    <col min="6405" max="6405" width="16" style="80" customWidth="1"/>
    <col min="6406" max="6406" width="43.42578125" style="80" customWidth="1"/>
    <col min="6407" max="6654" width="9.140625" style="80"/>
    <col min="6655" max="6655" width="7" style="80" customWidth="1"/>
    <col min="6656" max="6656" width="10.7109375" style="80" customWidth="1"/>
    <col min="6657" max="6657" width="15.7109375" style="80" customWidth="1"/>
    <col min="6658" max="6659" width="13.42578125" style="80" customWidth="1"/>
    <col min="6660" max="6660" width="17.85546875" style="80" customWidth="1"/>
    <col min="6661" max="6661" width="16" style="80" customWidth="1"/>
    <col min="6662" max="6662" width="43.42578125" style="80" customWidth="1"/>
    <col min="6663" max="6910" width="9.140625" style="80"/>
    <col min="6911" max="6911" width="7" style="80" customWidth="1"/>
    <col min="6912" max="6912" width="10.7109375" style="80" customWidth="1"/>
    <col min="6913" max="6913" width="15.7109375" style="80" customWidth="1"/>
    <col min="6914" max="6915" width="13.42578125" style="80" customWidth="1"/>
    <col min="6916" max="6916" width="17.85546875" style="80" customWidth="1"/>
    <col min="6917" max="6917" width="16" style="80" customWidth="1"/>
    <col min="6918" max="6918" width="43.42578125" style="80" customWidth="1"/>
    <col min="6919" max="7166" width="9.140625" style="80"/>
    <col min="7167" max="7167" width="7" style="80" customWidth="1"/>
    <col min="7168" max="7168" width="10.7109375" style="80" customWidth="1"/>
    <col min="7169" max="7169" width="15.7109375" style="80" customWidth="1"/>
    <col min="7170" max="7171" width="13.42578125" style="80" customWidth="1"/>
    <col min="7172" max="7172" width="17.85546875" style="80" customWidth="1"/>
    <col min="7173" max="7173" width="16" style="80" customWidth="1"/>
    <col min="7174" max="7174" width="43.42578125" style="80" customWidth="1"/>
    <col min="7175" max="7422" width="9.140625" style="80"/>
    <col min="7423" max="7423" width="7" style="80" customWidth="1"/>
    <col min="7424" max="7424" width="10.7109375" style="80" customWidth="1"/>
    <col min="7425" max="7425" width="15.7109375" style="80" customWidth="1"/>
    <col min="7426" max="7427" width="13.42578125" style="80" customWidth="1"/>
    <col min="7428" max="7428" width="17.85546875" style="80" customWidth="1"/>
    <col min="7429" max="7429" width="16" style="80" customWidth="1"/>
    <col min="7430" max="7430" width="43.42578125" style="80" customWidth="1"/>
    <col min="7431" max="7678" width="9.140625" style="80"/>
    <col min="7679" max="7679" width="7" style="80" customWidth="1"/>
    <col min="7680" max="7680" width="10.7109375" style="80" customWidth="1"/>
    <col min="7681" max="7681" width="15.7109375" style="80" customWidth="1"/>
    <col min="7682" max="7683" width="13.42578125" style="80" customWidth="1"/>
    <col min="7684" max="7684" width="17.85546875" style="80" customWidth="1"/>
    <col min="7685" max="7685" width="16" style="80" customWidth="1"/>
    <col min="7686" max="7686" width="43.42578125" style="80" customWidth="1"/>
    <col min="7687" max="7934" width="9.140625" style="80"/>
    <col min="7935" max="7935" width="7" style="80" customWidth="1"/>
    <col min="7936" max="7936" width="10.7109375" style="80" customWidth="1"/>
    <col min="7937" max="7937" width="15.7109375" style="80" customWidth="1"/>
    <col min="7938" max="7939" width="13.42578125" style="80" customWidth="1"/>
    <col min="7940" max="7940" width="17.85546875" style="80" customWidth="1"/>
    <col min="7941" max="7941" width="16" style="80" customWidth="1"/>
    <col min="7942" max="7942" width="43.42578125" style="80" customWidth="1"/>
    <col min="7943" max="8190" width="9.140625" style="80"/>
    <col min="8191" max="8191" width="7" style="80" customWidth="1"/>
    <col min="8192" max="8192" width="10.7109375" style="80" customWidth="1"/>
    <col min="8193" max="8193" width="15.7109375" style="80" customWidth="1"/>
    <col min="8194" max="8195" width="13.42578125" style="80" customWidth="1"/>
    <col min="8196" max="8196" width="17.85546875" style="80" customWidth="1"/>
    <col min="8197" max="8197" width="16" style="80" customWidth="1"/>
    <col min="8198" max="8198" width="43.42578125" style="80" customWidth="1"/>
    <col min="8199" max="8446" width="9.140625" style="80"/>
    <col min="8447" max="8447" width="7" style="80" customWidth="1"/>
    <col min="8448" max="8448" width="10.7109375" style="80" customWidth="1"/>
    <col min="8449" max="8449" width="15.7109375" style="80" customWidth="1"/>
    <col min="8450" max="8451" width="13.42578125" style="80" customWidth="1"/>
    <col min="8452" max="8452" width="17.85546875" style="80" customWidth="1"/>
    <col min="8453" max="8453" width="16" style="80" customWidth="1"/>
    <col min="8454" max="8454" width="43.42578125" style="80" customWidth="1"/>
    <col min="8455" max="8702" width="9.140625" style="80"/>
    <col min="8703" max="8703" width="7" style="80" customWidth="1"/>
    <col min="8704" max="8704" width="10.7109375" style="80" customWidth="1"/>
    <col min="8705" max="8705" width="15.7109375" style="80" customWidth="1"/>
    <col min="8706" max="8707" width="13.42578125" style="80" customWidth="1"/>
    <col min="8708" max="8708" width="17.85546875" style="80" customWidth="1"/>
    <col min="8709" max="8709" width="16" style="80" customWidth="1"/>
    <col min="8710" max="8710" width="43.42578125" style="80" customWidth="1"/>
    <col min="8711" max="8958" width="9.140625" style="80"/>
    <col min="8959" max="8959" width="7" style="80" customWidth="1"/>
    <col min="8960" max="8960" width="10.7109375" style="80" customWidth="1"/>
    <col min="8961" max="8961" width="15.7109375" style="80" customWidth="1"/>
    <col min="8962" max="8963" width="13.42578125" style="80" customWidth="1"/>
    <col min="8964" max="8964" width="17.85546875" style="80" customWidth="1"/>
    <col min="8965" max="8965" width="16" style="80" customWidth="1"/>
    <col min="8966" max="8966" width="43.42578125" style="80" customWidth="1"/>
    <col min="8967" max="9214" width="9.140625" style="80"/>
    <col min="9215" max="9215" width="7" style="80" customWidth="1"/>
    <col min="9216" max="9216" width="10.7109375" style="80" customWidth="1"/>
    <col min="9217" max="9217" width="15.7109375" style="80" customWidth="1"/>
    <col min="9218" max="9219" width="13.42578125" style="80" customWidth="1"/>
    <col min="9220" max="9220" width="17.85546875" style="80" customWidth="1"/>
    <col min="9221" max="9221" width="16" style="80" customWidth="1"/>
    <col min="9222" max="9222" width="43.42578125" style="80" customWidth="1"/>
    <col min="9223" max="9470" width="9.140625" style="80"/>
    <col min="9471" max="9471" width="7" style="80" customWidth="1"/>
    <col min="9472" max="9472" width="10.7109375" style="80" customWidth="1"/>
    <col min="9473" max="9473" width="15.7109375" style="80" customWidth="1"/>
    <col min="9474" max="9475" width="13.42578125" style="80" customWidth="1"/>
    <col min="9476" max="9476" width="17.85546875" style="80" customWidth="1"/>
    <col min="9477" max="9477" width="16" style="80" customWidth="1"/>
    <col min="9478" max="9478" width="43.42578125" style="80" customWidth="1"/>
    <col min="9479" max="9726" width="9.140625" style="80"/>
    <col min="9727" max="9727" width="7" style="80" customWidth="1"/>
    <col min="9728" max="9728" width="10.7109375" style="80" customWidth="1"/>
    <col min="9729" max="9729" width="15.7109375" style="80" customWidth="1"/>
    <col min="9730" max="9731" width="13.42578125" style="80" customWidth="1"/>
    <col min="9732" max="9732" width="17.85546875" style="80" customWidth="1"/>
    <col min="9733" max="9733" width="16" style="80" customWidth="1"/>
    <col min="9734" max="9734" width="43.42578125" style="80" customWidth="1"/>
    <col min="9735" max="9982" width="9.140625" style="80"/>
    <col min="9983" max="9983" width="7" style="80" customWidth="1"/>
    <col min="9984" max="9984" width="10.7109375" style="80" customWidth="1"/>
    <col min="9985" max="9985" width="15.7109375" style="80" customWidth="1"/>
    <col min="9986" max="9987" width="13.42578125" style="80" customWidth="1"/>
    <col min="9988" max="9988" width="17.85546875" style="80" customWidth="1"/>
    <col min="9989" max="9989" width="16" style="80" customWidth="1"/>
    <col min="9990" max="9990" width="43.42578125" style="80" customWidth="1"/>
    <col min="9991" max="10238" width="9.140625" style="80"/>
    <col min="10239" max="10239" width="7" style="80" customWidth="1"/>
    <col min="10240" max="10240" width="10.7109375" style="80" customWidth="1"/>
    <col min="10241" max="10241" width="15.7109375" style="80" customWidth="1"/>
    <col min="10242" max="10243" width="13.42578125" style="80" customWidth="1"/>
    <col min="10244" max="10244" width="17.85546875" style="80" customWidth="1"/>
    <col min="10245" max="10245" width="16" style="80" customWidth="1"/>
    <col min="10246" max="10246" width="43.42578125" style="80" customWidth="1"/>
    <col min="10247" max="10494" width="9.140625" style="80"/>
    <col min="10495" max="10495" width="7" style="80" customWidth="1"/>
    <col min="10496" max="10496" width="10.7109375" style="80" customWidth="1"/>
    <col min="10497" max="10497" width="15.7109375" style="80" customWidth="1"/>
    <col min="10498" max="10499" width="13.42578125" style="80" customWidth="1"/>
    <col min="10500" max="10500" width="17.85546875" style="80" customWidth="1"/>
    <col min="10501" max="10501" width="16" style="80" customWidth="1"/>
    <col min="10502" max="10502" width="43.42578125" style="80" customWidth="1"/>
    <col min="10503" max="10750" width="9.140625" style="80"/>
    <col min="10751" max="10751" width="7" style="80" customWidth="1"/>
    <col min="10752" max="10752" width="10.7109375" style="80" customWidth="1"/>
    <col min="10753" max="10753" width="15.7109375" style="80" customWidth="1"/>
    <col min="10754" max="10755" width="13.42578125" style="80" customWidth="1"/>
    <col min="10756" max="10756" width="17.85546875" style="80" customWidth="1"/>
    <col min="10757" max="10757" width="16" style="80" customWidth="1"/>
    <col min="10758" max="10758" width="43.42578125" style="80" customWidth="1"/>
    <col min="10759" max="11006" width="9.140625" style="80"/>
    <col min="11007" max="11007" width="7" style="80" customWidth="1"/>
    <col min="11008" max="11008" width="10.7109375" style="80" customWidth="1"/>
    <col min="11009" max="11009" width="15.7109375" style="80" customWidth="1"/>
    <col min="11010" max="11011" width="13.42578125" style="80" customWidth="1"/>
    <col min="11012" max="11012" width="17.85546875" style="80" customWidth="1"/>
    <col min="11013" max="11013" width="16" style="80" customWidth="1"/>
    <col min="11014" max="11014" width="43.42578125" style="80" customWidth="1"/>
    <col min="11015" max="11262" width="9.140625" style="80"/>
    <col min="11263" max="11263" width="7" style="80" customWidth="1"/>
    <col min="11264" max="11264" width="10.7109375" style="80" customWidth="1"/>
    <col min="11265" max="11265" width="15.7109375" style="80" customWidth="1"/>
    <col min="11266" max="11267" width="13.42578125" style="80" customWidth="1"/>
    <col min="11268" max="11268" width="17.85546875" style="80" customWidth="1"/>
    <col min="11269" max="11269" width="16" style="80" customWidth="1"/>
    <col min="11270" max="11270" width="43.42578125" style="80" customWidth="1"/>
    <col min="11271" max="11518" width="9.140625" style="80"/>
    <col min="11519" max="11519" width="7" style="80" customWidth="1"/>
    <col min="11520" max="11520" width="10.7109375" style="80" customWidth="1"/>
    <col min="11521" max="11521" width="15.7109375" style="80" customWidth="1"/>
    <col min="11522" max="11523" width="13.42578125" style="80" customWidth="1"/>
    <col min="11524" max="11524" width="17.85546875" style="80" customWidth="1"/>
    <col min="11525" max="11525" width="16" style="80" customWidth="1"/>
    <col min="11526" max="11526" width="43.42578125" style="80" customWidth="1"/>
    <col min="11527" max="11774" width="9.140625" style="80"/>
    <col min="11775" max="11775" width="7" style="80" customWidth="1"/>
    <col min="11776" max="11776" width="10.7109375" style="80" customWidth="1"/>
    <col min="11777" max="11777" width="15.7109375" style="80" customWidth="1"/>
    <col min="11778" max="11779" width="13.42578125" style="80" customWidth="1"/>
    <col min="11780" max="11780" width="17.85546875" style="80" customWidth="1"/>
    <col min="11781" max="11781" width="16" style="80" customWidth="1"/>
    <col min="11782" max="11782" width="43.42578125" style="80" customWidth="1"/>
    <col min="11783" max="12030" width="9.140625" style="80"/>
    <col min="12031" max="12031" width="7" style="80" customWidth="1"/>
    <col min="12032" max="12032" width="10.7109375" style="80" customWidth="1"/>
    <col min="12033" max="12033" width="15.7109375" style="80" customWidth="1"/>
    <col min="12034" max="12035" width="13.42578125" style="80" customWidth="1"/>
    <col min="12036" max="12036" width="17.85546875" style="80" customWidth="1"/>
    <col min="12037" max="12037" width="16" style="80" customWidth="1"/>
    <col min="12038" max="12038" width="43.42578125" style="80" customWidth="1"/>
    <col min="12039" max="12286" width="9.140625" style="80"/>
    <col min="12287" max="12287" width="7" style="80" customWidth="1"/>
    <col min="12288" max="12288" width="10.7109375" style="80" customWidth="1"/>
    <col min="12289" max="12289" width="15.7109375" style="80" customWidth="1"/>
    <col min="12290" max="12291" width="13.42578125" style="80" customWidth="1"/>
    <col min="12292" max="12292" width="17.85546875" style="80" customWidth="1"/>
    <col min="12293" max="12293" width="16" style="80" customWidth="1"/>
    <col min="12294" max="12294" width="43.42578125" style="80" customWidth="1"/>
    <col min="12295" max="12542" width="9.140625" style="80"/>
    <col min="12543" max="12543" width="7" style="80" customWidth="1"/>
    <col min="12544" max="12544" width="10.7109375" style="80" customWidth="1"/>
    <col min="12545" max="12545" width="15.7109375" style="80" customWidth="1"/>
    <col min="12546" max="12547" width="13.42578125" style="80" customWidth="1"/>
    <col min="12548" max="12548" width="17.85546875" style="80" customWidth="1"/>
    <col min="12549" max="12549" width="16" style="80" customWidth="1"/>
    <col min="12550" max="12550" width="43.42578125" style="80" customWidth="1"/>
    <col min="12551" max="12798" width="9.140625" style="80"/>
    <col min="12799" max="12799" width="7" style="80" customWidth="1"/>
    <col min="12800" max="12800" width="10.7109375" style="80" customWidth="1"/>
    <col min="12801" max="12801" width="15.7109375" style="80" customWidth="1"/>
    <col min="12802" max="12803" width="13.42578125" style="80" customWidth="1"/>
    <col min="12804" max="12804" width="17.85546875" style="80" customWidth="1"/>
    <col min="12805" max="12805" width="16" style="80" customWidth="1"/>
    <col min="12806" max="12806" width="43.42578125" style="80" customWidth="1"/>
    <col min="12807" max="13054" width="9.140625" style="80"/>
    <col min="13055" max="13055" width="7" style="80" customWidth="1"/>
    <col min="13056" max="13056" width="10.7109375" style="80" customWidth="1"/>
    <col min="13057" max="13057" width="15.7109375" style="80" customWidth="1"/>
    <col min="13058" max="13059" width="13.42578125" style="80" customWidth="1"/>
    <col min="13060" max="13060" width="17.85546875" style="80" customWidth="1"/>
    <col min="13061" max="13061" width="16" style="80" customWidth="1"/>
    <col min="13062" max="13062" width="43.42578125" style="80" customWidth="1"/>
    <col min="13063" max="13310" width="9.140625" style="80"/>
    <col min="13311" max="13311" width="7" style="80" customWidth="1"/>
    <col min="13312" max="13312" width="10.7109375" style="80" customWidth="1"/>
    <col min="13313" max="13313" width="15.7109375" style="80" customWidth="1"/>
    <col min="13314" max="13315" width="13.42578125" style="80" customWidth="1"/>
    <col min="13316" max="13316" width="17.85546875" style="80" customWidth="1"/>
    <col min="13317" max="13317" width="16" style="80" customWidth="1"/>
    <col min="13318" max="13318" width="43.42578125" style="80" customWidth="1"/>
    <col min="13319" max="13566" width="9.140625" style="80"/>
    <col min="13567" max="13567" width="7" style="80" customWidth="1"/>
    <col min="13568" max="13568" width="10.7109375" style="80" customWidth="1"/>
    <col min="13569" max="13569" width="15.7109375" style="80" customWidth="1"/>
    <col min="13570" max="13571" width="13.42578125" style="80" customWidth="1"/>
    <col min="13572" max="13572" width="17.85546875" style="80" customWidth="1"/>
    <col min="13573" max="13573" width="16" style="80" customWidth="1"/>
    <col min="13574" max="13574" width="43.42578125" style="80" customWidth="1"/>
    <col min="13575" max="13822" width="9.140625" style="80"/>
    <col min="13823" max="13823" width="7" style="80" customWidth="1"/>
    <col min="13824" max="13824" width="10.7109375" style="80" customWidth="1"/>
    <col min="13825" max="13825" width="15.7109375" style="80" customWidth="1"/>
    <col min="13826" max="13827" width="13.42578125" style="80" customWidth="1"/>
    <col min="13828" max="13828" width="17.85546875" style="80" customWidth="1"/>
    <col min="13829" max="13829" width="16" style="80" customWidth="1"/>
    <col min="13830" max="13830" width="43.42578125" style="80" customWidth="1"/>
    <col min="13831" max="14078" width="9.140625" style="80"/>
    <col min="14079" max="14079" width="7" style="80" customWidth="1"/>
    <col min="14080" max="14080" width="10.7109375" style="80" customWidth="1"/>
    <col min="14081" max="14081" width="15.7109375" style="80" customWidth="1"/>
    <col min="14082" max="14083" width="13.42578125" style="80" customWidth="1"/>
    <col min="14084" max="14084" width="17.85546875" style="80" customWidth="1"/>
    <col min="14085" max="14085" width="16" style="80" customWidth="1"/>
    <col min="14086" max="14086" width="43.42578125" style="80" customWidth="1"/>
    <col min="14087" max="14334" width="9.140625" style="80"/>
    <col min="14335" max="14335" width="7" style="80" customWidth="1"/>
    <col min="14336" max="14336" width="10.7109375" style="80" customWidth="1"/>
    <col min="14337" max="14337" width="15.7109375" style="80" customWidth="1"/>
    <col min="14338" max="14339" width="13.42578125" style="80" customWidth="1"/>
    <col min="14340" max="14340" width="17.85546875" style="80" customWidth="1"/>
    <col min="14341" max="14341" width="16" style="80" customWidth="1"/>
    <col min="14342" max="14342" width="43.42578125" style="80" customWidth="1"/>
    <col min="14343" max="14590" width="9.140625" style="80"/>
    <col min="14591" max="14591" width="7" style="80" customWidth="1"/>
    <col min="14592" max="14592" width="10.7109375" style="80" customWidth="1"/>
    <col min="14593" max="14593" width="15.7109375" style="80" customWidth="1"/>
    <col min="14594" max="14595" width="13.42578125" style="80" customWidth="1"/>
    <col min="14596" max="14596" width="17.85546875" style="80" customWidth="1"/>
    <col min="14597" max="14597" width="16" style="80" customWidth="1"/>
    <col min="14598" max="14598" width="43.42578125" style="80" customWidth="1"/>
    <col min="14599" max="14846" width="9.140625" style="80"/>
    <col min="14847" max="14847" width="7" style="80" customWidth="1"/>
    <col min="14848" max="14848" width="10.7109375" style="80" customWidth="1"/>
    <col min="14849" max="14849" width="15.7109375" style="80" customWidth="1"/>
    <col min="14850" max="14851" width="13.42578125" style="80" customWidth="1"/>
    <col min="14852" max="14852" width="17.85546875" style="80" customWidth="1"/>
    <col min="14853" max="14853" width="16" style="80" customWidth="1"/>
    <col min="14854" max="14854" width="43.42578125" style="80" customWidth="1"/>
    <col min="14855" max="15102" width="9.140625" style="80"/>
    <col min="15103" max="15103" width="7" style="80" customWidth="1"/>
    <col min="15104" max="15104" width="10.7109375" style="80" customWidth="1"/>
    <col min="15105" max="15105" width="15.7109375" style="80" customWidth="1"/>
    <col min="15106" max="15107" width="13.42578125" style="80" customWidth="1"/>
    <col min="15108" max="15108" width="17.85546875" style="80" customWidth="1"/>
    <col min="15109" max="15109" width="16" style="80" customWidth="1"/>
    <col min="15110" max="15110" width="43.42578125" style="80" customWidth="1"/>
    <col min="15111" max="15358" width="9.140625" style="80"/>
    <col min="15359" max="15359" width="7" style="80" customWidth="1"/>
    <col min="15360" max="15360" width="10.7109375" style="80" customWidth="1"/>
    <col min="15361" max="15361" width="15.7109375" style="80" customWidth="1"/>
    <col min="15362" max="15363" width="13.42578125" style="80" customWidth="1"/>
    <col min="15364" max="15364" width="17.85546875" style="80" customWidth="1"/>
    <col min="15365" max="15365" width="16" style="80" customWidth="1"/>
    <col min="15366" max="15366" width="43.42578125" style="80" customWidth="1"/>
    <col min="15367" max="15614" width="9.140625" style="80"/>
    <col min="15615" max="15615" width="7" style="80" customWidth="1"/>
    <col min="15616" max="15616" width="10.7109375" style="80" customWidth="1"/>
    <col min="15617" max="15617" width="15.7109375" style="80" customWidth="1"/>
    <col min="15618" max="15619" width="13.42578125" style="80" customWidth="1"/>
    <col min="15620" max="15620" width="17.85546875" style="80" customWidth="1"/>
    <col min="15621" max="15621" width="16" style="80" customWidth="1"/>
    <col min="15622" max="15622" width="43.42578125" style="80" customWidth="1"/>
    <col min="15623" max="15870" width="9.140625" style="80"/>
    <col min="15871" max="15871" width="7" style="80" customWidth="1"/>
    <col min="15872" max="15872" width="10.7109375" style="80" customWidth="1"/>
    <col min="15873" max="15873" width="15.7109375" style="80" customWidth="1"/>
    <col min="15874" max="15875" width="13.42578125" style="80" customWidth="1"/>
    <col min="15876" max="15876" width="17.85546875" style="80" customWidth="1"/>
    <col min="15877" max="15877" width="16" style="80" customWidth="1"/>
    <col min="15878" max="15878" width="43.42578125" style="80" customWidth="1"/>
    <col min="15879" max="16126" width="9.140625" style="80"/>
    <col min="16127" max="16127" width="7" style="80" customWidth="1"/>
    <col min="16128" max="16128" width="10.7109375" style="80" customWidth="1"/>
    <col min="16129" max="16129" width="15.7109375" style="80" customWidth="1"/>
    <col min="16130" max="16131" width="13.42578125" style="80" customWidth="1"/>
    <col min="16132" max="16132" width="17.85546875" style="80" customWidth="1"/>
    <col min="16133" max="16133" width="16" style="80" customWidth="1"/>
    <col min="16134" max="16134" width="43.42578125" style="80" customWidth="1"/>
    <col min="16135" max="16384" width="9.140625" style="80"/>
  </cols>
  <sheetData>
    <row r="1" spans="1:9" s="79" customFormat="1" ht="17.25" customHeight="1">
      <c r="A1" s="1194"/>
      <c r="B1" s="1194"/>
      <c r="C1" s="1198"/>
      <c r="D1" s="1199"/>
      <c r="E1" s="1199"/>
      <c r="F1" s="1199"/>
      <c r="G1" s="1199"/>
      <c r="H1" s="1199"/>
      <c r="I1" s="1200"/>
    </row>
    <row r="2" spans="1:9" s="79" customFormat="1" ht="45.75" customHeight="1">
      <c r="A2" s="5610" t="s">
        <v>518</v>
      </c>
      <c r="B2" s="5610"/>
      <c r="C2" s="5610"/>
      <c r="D2" s="5610"/>
      <c r="E2" s="5610"/>
      <c r="F2" s="5610"/>
      <c r="G2" s="5610"/>
      <c r="H2" s="5610"/>
      <c r="I2" s="5610"/>
    </row>
    <row r="3" spans="1:9" s="79" customFormat="1" ht="18" customHeight="1" thickBot="1">
      <c r="A3" s="5611"/>
      <c r="B3" s="5611"/>
      <c r="C3" s="1201"/>
      <c r="D3" s="1201"/>
      <c r="E3" s="1201"/>
      <c r="F3" s="1201"/>
      <c r="G3" s="1201"/>
      <c r="H3" s="1201"/>
      <c r="I3" s="1196" t="s">
        <v>0</v>
      </c>
    </row>
    <row r="4" spans="1:9" s="79" customFormat="1" ht="15.75" customHeight="1" thickBot="1">
      <c r="A4" s="5535" t="s">
        <v>1</v>
      </c>
      <c r="B4" s="5612" t="s">
        <v>442</v>
      </c>
      <c r="C4" s="5538" t="s">
        <v>450</v>
      </c>
      <c r="D4" s="5539" t="s">
        <v>4</v>
      </c>
      <c r="E4" s="5540" t="s">
        <v>495</v>
      </c>
      <c r="F4" s="5539"/>
      <c r="G4" s="5539"/>
      <c r="H4" s="5559"/>
      <c r="I4" s="5535" t="s">
        <v>507</v>
      </c>
    </row>
    <row r="5" spans="1:9" s="79" customFormat="1" ht="21" customHeight="1" thickBot="1">
      <c r="A5" s="5535"/>
      <c r="B5" s="5452"/>
      <c r="C5" s="5455"/>
      <c r="D5" s="5539"/>
      <c r="E5" s="5564" t="s">
        <v>492</v>
      </c>
      <c r="F5" s="5539" t="s">
        <v>491</v>
      </c>
      <c r="G5" s="5615" t="s">
        <v>493</v>
      </c>
      <c r="H5" s="5616"/>
      <c r="I5" s="5535"/>
    </row>
    <row r="6" spans="1:9" s="79" customFormat="1" ht="24" customHeight="1" thickBot="1">
      <c r="A6" s="5612"/>
      <c r="B6" s="5453"/>
      <c r="C6" s="5456"/>
      <c r="D6" s="5538"/>
      <c r="E6" s="5614"/>
      <c r="F6" s="5538"/>
      <c r="G6" s="1202" t="s">
        <v>444</v>
      </c>
      <c r="H6" s="3968" t="s">
        <v>443</v>
      </c>
      <c r="I6" s="5613"/>
    </row>
    <row r="7" spans="1:9" s="85" customFormat="1" ht="24" customHeight="1" thickBot="1">
      <c r="A7" s="3969" t="s">
        <v>17</v>
      </c>
      <c r="B7" s="3970"/>
      <c r="C7" s="3971" t="s">
        <v>490</v>
      </c>
      <c r="D7" s="3970"/>
      <c r="E7" s="3972">
        <f>SUM(E8)</f>
        <v>18370517</v>
      </c>
      <c r="F7" s="3916">
        <f>SUM(F8)</f>
        <v>15131528.539999999</v>
      </c>
      <c r="G7" s="3973">
        <f>SUM(G8)</f>
        <v>3678614.95</v>
      </c>
      <c r="H7" s="3916">
        <f>SUM(H8)</f>
        <v>11452913.59</v>
      </c>
      <c r="I7" s="3974"/>
    </row>
    <row r="8" spans="1:9" s="86" customFormat="1" ht="38.1" customHeight="1" thickBot="1">
      <c r="A8" s="5560"/>
      <c r="B8" s="3920" t="s">
        <v>35</v>
      </c>
      <c r="C8" s="3975" t="s">
        <v>36</v>
      </c>
      <c r="D8" s="3920"/>
      <c r="E8" s="3976">
        <f>SUM(E9:E12)</f>
        <v>18370517</v>
      </c>
      <c r="F8" s="3922">
        <f>SUM(F9:F12)</f>
        <v>15131528.539999999</v>
      </c>
      <c r="G8" s="3977">
        <f>SUM(G9:G12)</f>
        <v>3678614.95</v>
      </c>
      <c r="H8" s="3922">
        <f>SUM(H9:H12)</f>
        <v>11452913.59</v>
      </c>
      <c r="I8" s="3978"/>
    </row>
    <row r="9" spans="1:9" ht="42.75">
      <c r="A9" s="5510"/>
      <c r="B9" s="5597"/>
      <c r="C9" s="5600"/>
      <c r="D9" s="1357" t="s">
        <v>436</v>
      </c>
      <c r="E9" s="3979">
        <v>4300000</v>
      </c>
      <c r="F9" s="972">
        <f>SUM(G9:H9)</f>
        <v>3659634.95</v>
      </c>
      <c r="G9" s="3980">
        <v>3659634.95</v>
      </c>
      <c r="H9" s="803">
        <v>0</v>
      </c>
      <c r="I9" s="3981" t="s">
        <v>1081</v>
      </c>
    </row>
    <row r="10" spans="1:9" ht="57">
      <c r="A10" s="5510"/>
      <c r="B10" s="5598"/>
      <c r="C10" s="5601"/>
      <c r="D10" s="3982" t="s">
        <v>253</v>
      </c>
      <c r="E10" s="3983">
        <v>50000</v>
      </c>
      <c r="F10" s="972">
        <f>SUM(G10:H10)</f>
        <v>18980</v>
      </c>
      <c r="G10" s="3984">
        <v>18980</v>
      </c>
      <c r="H10" s="3985">
        <v>0</v>
      </c>
      <c r="I10" s="3986" t="s">
        <v>1129</v>
      </c>
    </row>
    <row r="11" spans="1:9" ht="46.5" customHeight="1">
      <c r="A11" s="5510"/>
      <c r="B11" s="5598"/>
      <c r="C11" s="5601"/>
      <c r="D11" s="3982" t="s">
        <v>431</v>
      </c>
      <c r="E11" s="3983">
        <v>14000517</v>
      </c>
      <c r="F11" s="972">
        <f>SUM(G11:H11)</f>
        <v>11452913.59</v>
      </c>
      <c r="G11" s="3984">
        <v>0</v>
      </c>
      <c r="H11" s="3985">
        <v>11452913.59</v>
      </c>
      <c r="I11" s="3987" t="s">
        <v>517</v>
      </c>
    </row>
    <row r="12" spans="1:9" ht="60.75" customHeight="1" thickBot="1">
      <c r="A12" s="5561"/>
      <c r="B12" s="5599"/>
      <c r="C12" s="5601"/>
      <c r="D12" s="3988" t="s">
        <v>430</v>
      </c>
      <c r="E12" s="3983">
        <v>20000</v>
      </c>
      <c r="F12" s="972">
        <f>SUM(G12:H12)</f>
        <v>0</v>
      </c>
      <c r="G12" s="3984">
        <v>0</v>
      </c>
      <c r="H12" s="3989">
        <v>0</v>
      </c>
      <c r="I12" s="3987" t="s">
        <v>516</v>
      </c>
    </row>
    <row r="13" spans="1:9" s="79" customFormat="1" ht="24" customHeight="1" thickBot="1">
      <c r="A13" s="3969" t="s">
        <v>440</v>
      </c>
      <c r="B13" s="3990"/>
      <c r="C13" s="3991" t="s">
        <v>506</v>
      </c>
      <c r="D13" s="3992"/>
      <c r="E13" s="3972">
        <f>SUM(E29,E14,E20,E16,E22,E41,E34)</f>
        <v>22904765</v>
      </c>
      <c r="F13" s="3916">
        <f t="shared" ref="F13:H13" si="0">SUM(F29,F14,F20,F16,F22,F41,F34)</f>
        <v>19659735.82</v>
      </c>
      <c r="G13" s="3973">
        <f t="shared" si="0"/>
        <v>11932745.559999999</v>
      </c>
      <c r="H13" s="3916">
        <f t="shared" si="0"/>
        <v>7726990.2599999998</v>
      </c>
      <c r="I13" s="3993"/>
    </row>
    <row r="14" spans="1:9" s="79" customFormat="1" ht="38.1" customHeight="1" thickBot="1">
      <c r="A14" s="3994"/>
      <c r="B14" s="3920" t="s">
        <v>439</v>
      </c>
      <c r="C14" s="3995" t="s">
        <v>71</v>
      </c>
      <c r="D14" s="3996"/>
      <c r="E14" s="3976">
        <f>SUM(E15:E15)</f>
        <v>100000</v>
      </c>
      <c r="F14" s="3997">
        <f>SUM(G14:H14)</f>
        <v>95647.87</v>
      </c>
      <c r="G14" s="3998">
        <f>SUM(G15:G15)</f>
        <v>95647.87</v>
      </c>
      <c r="H14" s="3997">
        <f>SUM(H15:H15)</f>
        <v>0</v>
      </c>
      <c r="I14" s="3999"/>
    </row>
    <row r="15" spans="1:9" s="79" customFormat="1" ht="65.25" customHeight="1" thickBot="1">
      <c r="A15" s="953"/>
      <c r="B15" s="954"/>
      <c r="C15" s="785"/>
      <c r="D15" s="955" t="s">
        <v>78</v>
      </c>
      <c r="E15" s="4000">
        <v>100000</v>
      </c>
      <c r="F15" s="956">
        <f>SUM(G15:H15)</f>
        <v>95647.87</v>
      </c>
      <c r="G15" s="4001">
        <v>95647.87</v>
      </c>
      <c r="H15" s="956">
        <v>0</v>
      </c>
      <c r="I15" s="957" t="s">
        <v>515</v>
      </c>
    </row>
    <row r="16" spans="1:9" s="130" customFormat="1" ht="38.1" customHeight="1" thickBot="1">
      <c r="A16" s="953"/>
      <c r="B16" s="3920" t="s">
        <v>437</v>
      </c>
      <c r="C16" s="4002" t="s">
        <v>514</v>
      </c>
      <c r="D16" s="4003"/>
      <c r="E16" s="4004">
        <f>SUM(E17:E19)</f>
        <v>11302703</v>
      </c>
      <c r="F16" s="4005">
        <f>SUM(F17:F19)</f>
        <v>11302702.85</v>
      </c>
      <c r="G16" s="4005">
        <f>SUM(G17:G19)</f>
        <v>11302702.85</v>
      </c>
      <c r="H16" s="4006">
        <f>SUM(H17:H19)</f>
        <v>0</v>
      </c>
      <c r="I16" s="3999"/>
    </row>
    <row r="17" spans="1:9" s="130" customFormat="1" ht="31.5" customHeight="1">
      <c r="A17" s="953"/>
      <c r="B17" s="4007"/>
      <c r="C17" s="4008"/>
      <c r="D17" s="4009" t="s">
        <v>436</v>
      </c>
      <c r="E17" s="958">
        <v>608599</v>
      </c>
      <c r="F17" s="4010">
        <f>SUM(G17:H17)</f>
        <v>608598.93999999994</v>
      </c>
      <c r="G17" s="4011">
        <v>608598.93999999994</v>
      </c>
      <c r="H17" s="4010">
        <v>0</v>
      </c>
      <c r="I17" s="5623" t="s">
        <v>513</v>
      </c>
    </row>
    <row r="18" spans="1:9" s="79" customFormat="1" ht="30.75" customHeight="1">
      <c r="A18" s="5580"/>
      <c r="B18" s="5602"/>
      <c r="C18" s="5604"/>
      <c r="D18" s="4012" t="s">
        <v>253</v>
      </c>
      <c r="E18" s="4013">
        <v>5840422</v>
      </c>
      <c r="F18" s="4014">
        <f>SUM(G18:H18)</f>
        <v>5840422</v>
      </c>
      <c r="G18" s="4015">
        <v>5840422</v>
      </c>
      <c r="H18" s="4016">
        <v>0</v>
      </c>
      <c r="I18" s="5624"/>
    </row>
    <row r="19" spans="1:9" s="79" customFormat="1" ht="33" customHeight="1" thickBot="1">
      <c r="A19" s="5617"/>
      <c r="B19" s="5603"/>
      <c r="C19" s="5605"/>
      <c r="D19" s="961" t="s">
        <v>341</v>
      </c>
      <c r="E19" s="962">
        <v>4853682</v>
      </c>
      <c r="F19" s="4017">
        <f>SUM(G19:H19)</f>
        <v>4853681.91</v>
      </c>
      <c r="G19" s="882">
        <v>4853681.91</v>
      </c>
      <c r="H19" s="882">
        <v>0</v>
      </c>
      <c r="I19" s="5625"/>
    </row>
    <row r="20" spans="1:9" s="79" customFormat="1" ht="24" customHeight="1" thickBot="1">
      <c r="A20" s="3994"/>
      <c r="B20" s="3920" t="s">
        <v>434</v>
      </c>
      <c r="C20" s="3995" t="s">
        <v>88</v>
      </c>
      <c r="D20" s="3996"/>
      <c r="E20" s="3976">
        <f>SUM(E21:E21)</f>
        <v>100000</v>
      </c>
      <c r="F20" s="3997">
        <f>SUM(G20:H20)</f>
        <v>0</v>
      </c>
      <c r="G20" s="3998">
        <f>SUM(G21:G21)</f>
        <v>0</v>
      </c>
      <c r="H20" s="3997">
        <f>SUM(H21:H21)</f>
        <v>0</v>
      </c>
      <c r="I20" s="3999"/>
    </row>
    <row r="21" spans="1:9" s="79" customFormat="1" ht="61.5" customHeight="1" thickBot="1">
      <c r="A21" s="953"/>
      <c r="B21" s="964"/>
      <c r="C21" s="965"/>
      <c r="D21" s="966" t="s">
        <v>78</v>
      </c>
      <c r="E21" s="967">
        <v>100000</v>
      </c>
      <c r="F21" s="882">
        <f>SUM(G21:H21)</f>
        <v>0</v>
      </c>
      <c r="G21" s="968">
        <v>0</v>
      </c>
      <c r="H21" s="882">
        <v>0</v>
      </c>
      <c r="I21" s="969" t="s">
        <v>1115</v>
      </c>
    </row>
    <row r="22" spans="1:9" s="102" customFormat="1" ht="24" customHeight="1" thickBot="1">
      <c r="A22" s="119"/>
      <c r="B22" s="3920" t="s">
        <v>433</v>
      </c>
      <c r="C22" s="3995" t="s">
        <v>92</v>
      </c>
      <c r="D22" s="3996"/>
      <c r="E22" s="3976">
        <f>SUM(E23:E28)</f>
        <v>5780520</v>
      </c>
      <c r="F22" s="3922">
        <f>SUM(F23:F28)</f>
        <v>3857454.77</v>
      </c>
      <c r="G22" s="3922">
        <f>SUM(G23:G28)</f>
        <v>0</v>
      </c>
      <c r="H22" s="3922">
        <f>SUM(H23:H28)</f>
        <v>3857454.77</v>
      </c>
      <c r="I22" s="4021"/>
    </row>
    <row r="23" spans="1:9" s="102" customFormat="1" ht="62.25" customHeight="1">
      <c r="A23" s="119"/>
      <c r="B23" s="4022"/>
      <c r="C23" s="4023"/>
      <c r="D23" s="5618">
        <v>6610</v>
      </c>
      <c r="E23" s="4024">
        <v>940000</v>
      </c>
      <c r="F23" s="4025">
        <f>SUM(G23:H23)</f>
        <v>940000</v>
      </c>
      <c r="G23" s="4025">
        <v>0</v>
      </c>
      <c r="H23" s="4025">
        <v>940000</v>
      </c>
      <c r="I23" s="4026" t="s">
        <v>1040</v>
      </c>
    </row>
    <row r="24" spans="1:9" s="102" customFormat="1" ht="49.5" customHeight="1">
      <c r="A24" s="119"/>
      <c r="B24" s="973"/>
      <c r="C24" s="4027"/>
      <c r="D24" s="5619"/>
      <c r="E24" s="4028">
        <v>360000</v>
      </c>
      <c r="F24" s="799">
        <f>SUM(G24:H24)</f>
        <v>261856.96</v>
      </c>
      <c r="G24" s="799">
        <v>0</v>
      </c>
      <c r="H24" s="799">
        <v>261856.96</v>
      </c>
      <c r="I24" s="4020" t="s">
        <v>1041</v>
      </c>
    </row>
    <row r="25" spans="1:9" s="102" customFormat="1" ht="409.5" customHeight="1">
      <c r="A25" s="119"/>
      <c r="B25" s="4018"/>
      <c r="C25" s="975"/>
      <c r="D25" s="5619"/>
      <c r="E25" s="5629">
        <v>3830520</v>
      </c>
      <c r="F25" s="5626">
        <f>SUM(H25:H25)</f>
        <v>2655597.81</v>
      </c>
      <c r="G25" s="5627">
        <v>0</v>
      </c>
      <c r="H25" s="5626">
        <v>2655597.81</v>
      </c>
      <c r="I25" s="957" t="s">
        <v>1042</v>
      </c>
    </row>
    <row r="26" spans="1:9" s="102" customFormat="1" ht="17.25" customHeight="1" thickBot="1">
      <c r="A26" s="117"/>
      <c r="B26" s="4029"/>
      <c r="C26" s="4030"/>
      <c r="D26" s="5620"/>
      <c r="E26" s="5630"/>
      <c r="F26" s="5607"/>
      <c r="G26" s="5628"/>
      <c r="H26" s="5607"/>
      <c r="I26" s="4031"/>
    </row>
    <row r="27" spans="1:9" s="102" customFormat="1" ht="93.75" customHeight="1">
      <c r="A27" s="3956"/>
      <c r="B27" s="4033"/>
      <c r="C27" s="4034"/>
      <c r="D27" s="5618">
        <v>6610</v>
      </c>
      <c r="E27" s="4035">
        <v>300000</v>
      </c>
      <c r="F27" s="3928">
        <f>SUM(H27:H27)</f>
        <v>0</v>
      </c>
      <c r="G27" s="4036">
        <v>0</v>
      </c>
      <c r="H27" s="3928">
        <v>0</v>
      </c>
      <c r="I27" s="4026" t="s">
        <v>1038</v>
      </c>
    </row>
    <row r="28" spans="1:9" s="102" customFormat="1" ht="79.5" customHeight="1" thickBot="1">
      <c r="A28" s="119"/>
      <c r="B28" s="949"/>
      <c r="C28" s="950"/>
      <c r="D28" s="5620"/>
      <c r="E28" s="4000">
        <v>350000</v>
      </c>
      <c r="F28" s="956">
        <f>SUM(H28:H28)</f>
        <v>0</v>
      </c>
      <c r="G28" s="970">
        <v>0</v>
      </c>
      <c r="H28" s="956">
        <v>0</v>
      </c>
      <c r="I28" s="971" t="s">
        <v>1039</v>
      </c>
    </row>
    <row r="29" spans="1:9" s="102" customFormat="1" ht="24" customHeight="1" thickBot="1">
      <c r="A29" s="953"/>
      <c r="B29" s="3920" t="s">
        <v>429</v>
      </c>
      <c r="C29" s="3995" t="s">
        <v>428</v>
      </c>
      <c r="D29" s="3996"/>
      <c r="E29" s="3976">
        <f>SUM(E30:E33)</f>
        <v>3324542</v>
      </c>
      <c r="F29" s="3922">
        <f>SUM(F30:F33)</f>
        <v>3324540.56</v>
      </c>
      <c r="G29" s="3922">
        <f t="shared" ref="G29:H29" si="1">SUM(G30:G33)</f>
        <v>0</v>
      </c>
      <c r="H29" s="3922">
        <f t="shared" si="1"/>
        <v>3324540.56</v>
      </c>
      <c r="I29" s="3999"/>
    </row>
    <row r="30" spans="1:9" s="102" customFormat="1" ht="96" customHeight="1">
      <c r="A30" s="953"/>
      <c r="B30" s="5547"/>
      <c r="C30" s="5545"/>
      <c r="D30" s="5621" t="s">
        <v>310</v>
      </c>
      <c r="E30" s="4037">
        <v>1060926</v>
      </c>
      <c r="F30" s="4016">
        <f>SUM(G30:H30)</f>
        <v>1060925.07</v>
      </c>
      <c r="G30" s="4038">
        <v>0</v>
      </c>
      <c r="H30" s="4016">
        <v>1060925.07</v>
      </c>
      <c r="I30" s="3987" t="s">
        <v>1044</v>
      </c>
    </row>
    <row r="31" spans="1:9" s="102" customFormat="1" ht="49.5" customHeight="1">
      <c r="A31" s="953"/>
      <c r="B31" s="5548"/>
      <c r="C31" s="5546"/>
      <c r="D31" s="5622"/>
      <c r="E31" s="4037">
        <v>161250</v>
      </c>
      <c r="F31" s="4016">
        <f>SUM(G31:H31)</f>
        <v>161250</v>
      </c>
      <c r="G31" s="4038">
        <v>0</v>
      </c>
      <c r="H31" s="4016">
        <v>161250</v>
      </c>
      <c r="I31" s="4039" t="s">
        <v>1046</v>
      </c>
    </row>
    <row r="32" spans="1:9" s="102" customFormat="1" ht="79.5" customHeight="1">
      <c r="A32" s="953"/>
      <c r="B32" s="5548"/>
      <c r="C32" s="5546"/>
      <c r="D32" s="5622"/>
      <c r="E32" s="4000">
        <v>1502366</v>
      </c>
      <c r="F32" s="956">
        <f>SUM(G32:H32)</f>
        <v>1502365.49</v>
      </c>
      <c r="G32" s="4001">
        <v>0</v>
      </c>
      <c r="H32" s="956">
        <v>1502365.49</v>
      </c>
      <c r="I32" s="957" t="s">
        <v>1045</v>
      </c>
    </row>
    <row r="33" spans="1:9" s="102" customFormat="1" ht="55.5" customHeight="1" thickBot="1">
      <c r="A33" s="953"/>
      <c r="B33" s="5577"/>
      <c r="C33" s="5578"/>
      <c r="D33" s="5631"/>
      <c r="E33" s="4040">
        <v>600000</v>
      </c>
      <c r="F33" s="1345">
        <f>SUM(G33:H33)</f>
        <v>600000</v>
      </c>
      <c r="G33" s="4041">
        <v>0</v>
      </c>
      <c r="H33" s="1345">
        <v>600000</v>
      </c>
      <c r="I33" s="4042" t="s">
        <v>1043</v>
      </c>
    </row>
    <row r="34" spans="1:9" s="102" customFormat="1" ht="24" customHeight="1" thickBot="1">
      <c r="A34" s="953"/>
      <c r="B34" s="3920" t="s">
        <v>427</v>
      </c>
      <c r="C34" s="3995" t="s">
        <v>426</v>
      </c>
      <c r="D34" s="3996"/>
      <c r="E34" s="4043">
        <f>SUM(E35:E40)</f>
        <v>1805611</v>
      </c>
      <c r="F34" s="4044">
        <f>SUM(F35:F40)</f>
        <v>590605.92999999993</v>
      </c>
      <c r="G34" s="4044">
        <f t="shared" ref="G34:H34" si="2">SUM(G35:G40)</f>
        <v>76000</v>
      </c>
      <c r="H34" s="4044">
        <f t="shared" si="2"/>
        <v>514605.93</v>
      </c>
      <c r="I34" s="981"/>
    </row>
    <row r="35" spans="1:9" s="102" customFormat="1" ht="53.25" customHeight="1" thickBot="1">
      <c r="A35" s="117"/>
      <c r="B35" s="4045"/>
      <c r="C35" s="4046"/>
      <c r="D35" s="4047">
        <v>2710</v>
      </c>
      <c r="E35" s="4048">
        <v>76000</v>
      </c>
      <c r="F35" s="4049">
        <f t="shared" ref="F35:F40" si="3">SUM(G35:H35)</f>
        <v>76000</v>
      </c>
      <c r="G35" s="4050">
        <v>76000</v>
      </c>
      <c r="H35" s="4051">
        <v>0</v>
      </c>
      <c r="I35" s="4052" t="s">
        <v>1047</v>
      </c>
    </row>
    <row r="36" spans="1:9" s="102" customFormat="1" ht="71.25" customHeight="1">
      <c r="A36" s="3994"/>
      <c r="B36" s="4053"/>
      <c r="C36" s="4054"/>
      <c r="D36" s="5621" t="s">
        <v>310</v>
      </c>
      <c r="E36" s="4055">
        <v>10000</v>
      </c>
      <c r="F36" s="3928">
        <f t="shared" si="3"/>
        <v>10000</v>
      </c>
      <c r="G36" s="4056">
        <v>0</v>
      </c>
      <c r="H36" s="4057">
        <v>10000</v>
      </c>
      <c r="I36" s="4058" t="s">
        <v>1048</v>
      </c>
    </row>
    <row r="37" spans="1:9" s="102" customFormat="1" ht="54" customHeight="1">
      <c r="A37" s="953"/>
      <c r="B37" s="960"/>
      <c r="C37" s="4059"/>
      <c r="D37" s="5622"/>
      <c r="E37" s="4060">
        <v>1000000</v>
      </c>
      <c r="F37" s="972">
        <f t="shared" si="3"/>
        <v>0</v>
      </c>
      <c r="G37" s="4032">
        <v>0</v>
      </c>
      <c r="H37" s="976">
        <v>0</v>
      </c>
      <c r="I37" s="977" t="s">
        <v>1049</v>
      </c>
    </row>
    <row r="38" spans="1:9" s="102" customFormat="1" ht="56.25" customHeight="1">
      <c r="A38" s="953"/>
      <c r="B38" s="960"/>
      <c r="C38" s="4059"/>
      <c r="D38" s="5622"/>
      <c r="E38" s="4061">
        <v>300000</v>
      </c>
      <c r="F38" s="4062">
        <f t="shared" si="3"/>
        <v>84994.93</v>
      </c>
      <c r="G38" s="4063">
        <v>0</v>
      </c>
      <c r="H38" s="4064">
        <v>84994.93</v>
      </c>
      <c r="I38" s="977" t="s">
        <v>1050</v>
      </c>
    </row>
    <row r="39" spans="1:9" s="102" customFormat="1" ht="41.25" customHeight="1">
      <c r="A39" s="953"/>
      <c r="B39" s="982"/>
      <c r="C39" s="983"/>
      <c r="D39" s="5622"/>
      <c r="E39" s="4065">
        <v>341603</v>
      </c>
      <c r="F39" s="972">
        <f t="shared" si="3"/>
        <v>341603</v>
      </c>
      <c r="G39" s="4066">
        <v>0</v>
      </c>
      <c r="H39" s="972">
        <v>341603</v>
      </c>
      <c r="I39" s="977" t="s">
        <v>1051</v>
      </c>
    </row>
    <row r="40" spans="1:9" s="102" customFormat="1" ht="41.25" customHeight="1" thickBot="1">
      <c r="A40" s="953"/>
      <c r="B40" s="984"/>
      <c r="C40" s="985"/>
      <c r="D40" s="5631"/>
      <c r="E40" s="967">
        <v>78008</v>
      </c>
      <c r="F40" s="956">
        <f t="shared" si="3"/>
        <v>78008</v>
      </c>
      <c r="G40" s="968">
        <v>0</v>
      </c>
      <c r="H40" s="882">
        <v>78008</v>
      </c>
      <c r="I40" s="986" t="s">
        <v>1052</v>
      </c>
    </row>
    <row r="41" spans="1:9" s="102" customFormat="1" ht="24" customHeight="1" thickBot="1">
      <c r="A41" s="953"/>
      <c r="B41" s="3920" t="s">
        <v>425</v>
      </c>
      <c r="C41" s="4067" t="s">
        <v>424</v>
      </c>
      <c r="D41" s="987"/>
      <c r="E41" s="988">
        <f>SUM(E42:E44)</f>
        <v>491389</v>
      </c>
      <c r="F41" s="4006">
        <f>SUM(F42:F44)</f>
        <v>488783.84</v>
      </c>
      <c r="G41" s="4006">
        <f t="shared" ref="G41:H41" si="4">SUM(G42:G44)</f>
        <v>458394.84</v>
      </c>
      <c r="H41" s="4006">
        <f t="shared" si="4"/>
        <v>30389</v>
      </c>
      <c r="I41" s="4068"/>
    </row>
    <row r="42" spans="1:9" s="102" customFormat="1" ht="50.25" customHeight="1">
      <c r="A42" s="953"/>
      <c r="B42" s="4069"/>
      <c r="C42" s="4070"/>
      <c r="D42" s="5621" t="s">
        <v>78</v>
      </c>
      <c r="E42" s="4035">
        <v>450000</v>
      </c>
      <c r="F42" s="3928">
        <f>SUM(G42:H42)</f>
        <v>447394.84</v>
      </c>
      <c r="G42" s="4071">
        <v>447394.84</v>
      </c>
      <c r="H42" s="3928">
        <v>0</v>
      </c>
      <c r="I42" s="4072" t="s">
        <v>1053</v>
      </c>
    </row>
    <row r="43" spans="1:9" s="102" customFormat="1" ht="63" customHeight="1">
      <c r="A43" s="953"/>
      <c r="B43" s="982"/>
      <c r="C43" s="983"/>
      <c r="D43" s="5632"/>
      <c r="E43" s="4019">
        <v>11000</v>
      </c>
      <c r="F43" s="972">
        <f>SUM(G43:H43)</f>
        <v>11000</v>
      </c>
      <c r="G43" s="4066">
        <v>11000</v>
      </c>
      <c r="H43" s="972">
        <v>0</v>
      </c>
      <c r="I43" s="4073" t="s">
        <v>1054</v>
      </c>
    </row>
    <row r="44" spans="1:9" s="79" customFormat="1" ht="40.5" customHeight="1" thickBot="1">
      <c r="A44" s="1006"/>
      <c r="B44" s="964"/>
      <c r="C44" s="989"/>
      <c r="D44" s="966" t="s">
        <v>310</v>
      </c>
      <c r="E44" s="967">
        <v>30389</v>
      </c>
      <c r="F44" s="991">
        <f>SUM(G44:H44)</f>
        <v>30389</v>
      </c>
      <c r="G44" s="990">
        <v>0</v>
      </c>
      <c r="H44" s="991">
        <v>30389</v>
      </c>
      <c r="I44" s="4074" t="s">
        <v>1055</v>
      </c>
    </row>
    <row r="45" spans="1:9" ht="24" customHeight="1" thickBot="1">
      <c r="A45" s="1047" t="s">
        <v>418</v>
      </c>
      <c r="B45" s="1203"/>
      <c r="C45" s="1204" t="s">
        <v>106</v>
      </c>
      <c r="D45" s="1205"/>
      <c r="E45" s="1051">
        <f>SUM(E51,E46)</f>
        <v>1105890</v>
      </c>
      <c r="F45" s="887">
        <f>SUM(F51,F46)</f>
        <v>1103995</v>
      </c>
      <c r="G45" s="1052">
        <f>SUM(G51,G46)</f>
        <v>180099</v>
      </c>
      <c r="H45" s="887">
        <f>SUM(H51,H46)</f>
        <v>923896</v>
      </c>
      <c r="I45" s="129"/>
    </row>
    <row r="46" spans="1:9" ht="38.1" customHeight="1" thickBot="1">
      <c r="A46" s="4075"/>
      <c r="B46" s="4076" t="s">
        <v>417</v>
      </c>
      <c r="C46" s="4077" t="s">
        <v>107</v>
      </c>
      <c r="D46" s="4078"/>
      <c r="E46" s="4079">
        <f>SUM(E47:E50)</f>
        <v>1078890</v>
      </c>
      <c r="F46" s="4080">
        <f>SUM(F47:F50)</f>
        <v>1077205</v>
      </c>
      <c r="G46" s="4081">
        <f>SUM(G47:G50)</f>
        <v>153309</v>
      </c>
      <c r="H46" s="4082">
        <f>SUM(H47:H50)</f>
        <v>923896</v>
      </c>
      <c r="I46" s="4083"/>
    </row>
    <row r="47" spans="1:9" ht="409.5" customHeight="1">
      <c r="A47" s="126"/>
      <c r="B47" s="4084"/>
      <c r="C47" s="4085"/>
      <c r="D47" s="5621" t="s">
        <v>78</v>
      </c>
      <c r="E47" s="5633">
        <v>153309</v>
      </c>
      <c r="F47" s="5606">
        <f>SUM(G47:H47)</f>
        <v>153309</v>
      </c>
      <c r="G47" s="5606">
        <v>153309</v>
      </c>
      <c r="H47" s="5606">
        <v>0</v>
      </c>
      <c r="I47" s="5608" t="s">
        <v>1082</v>
      </c>
    </row>
    <row r="48" spans="1:9" ht="114.75" customHeight="1" thickBot="1">
      <c r="A48" s="4086"/>
      <c r="B48" s="4087"/>
      <c r="C48" s="4088"/>
      <c r="D48" s="5631"/>
      <c r="E48" s="5630"/>
      <c r="F48" s="5607"/>
      <c r="G48" s="5607"/>
      <c r="H48" s="5607"/>
      <c r="I48" s="5609"/>
    </row>
    <row r="49" spans="1:9" ht="315.75" customHeight="1">
      <c r="A49" s="4075"/>
      <c r="B49" s="4084"/>
      <c r="C49" s="4085"/>
      <c r="D49" s="5621">
        <v>6300</v>
      </c>
      <c r="E49" s="4089">
        <v>95581</v>
      </c>
      <c r="F49" s="3928">
        <f t="shared" ref="F49" si="5">SUM(G49:H49)</f>
        <v>93896</v>
      </c>
      <c r="G49" s="4090">
        <v>0</v>
      </c>
      <c r="H49" s="3929">
        <v>93896</v>
      </c>
      <c r="I49" s="4058" t="s">
        <v>1084</v>
      </c>
    </row>
    <row r="50" spans="1:9" ht="61.5" customHeight="1" thickBot="1">
      <c r="A50" s="126"/>
      <c r="B50" s="128"/>
      <c r="C50" s="127"/>
      <c r="D50" s="5622"/>
      <c r="E50" s="4098">
        <v>830000</v>
      </c>
      <c r="F50" s="4099">
        <f>SUM(G50:H50)</f>
        <v>830000</v>
      </c>
      <c r="G50" s="4100">
        <v>0</v>
      </c>
      <c r="H50" s="4101">
        <v>830000</v>
      </c>
      <c r="I50" s="4102" t="s">
        <v>1083</v>
      </c>
    </row>
    <row r="51" spans="1:9" ht="24" customHeight="1" thickBot="1">
      <c r="A51" s="126"/>
      <c r="B51" s="3920" t="s">
        <v>415</v>
      </c>
      <c r="C51" s="3995" t="s">
        <v>44</v>
      </c>
      <c r="D51" s="3996"/>
      <c r="E51" s="3976">
        <f>SUM(E52:E52)</f>
        <v>27000</v>
      </c>
      <c r="F51" s="3922">
        <f>SUM(F52:F52)</f>
        <v>26790</v>
      </c>
      <c r="G51" s="3977">
        <f>SUM(G52:G52)</f>
        <v>26790</v>
      </c>
      <c r="H51" s="3922">
        <f>SUM(H52:H52)</f>
        <v>0</v>
      </c>
      <c r="I51" s="4021"/>
    </row>
    <row r="52" spans="1:9" ht="101.25" customHeight="1" thickBot="1">
      <c r="A52" s="4086"/>
      <c r="B52" s="4092"/>
      <c r="C52" s="4093"/>
      <c r="D52" s="4047" t="s">
        <v>78</v>
      </c>
      <c r="E52" s="4094">
        <v>27000</v>
      </c>
      <c r="F52" s="4049">
        <f>SUM(G52:H52)</f>
        <v>26790</v>
      </c>
      <c r="G52" s="4095">
        <v>26790</v>
      </c>
      <c r="H52" s="4096">
        <v>0</v>
      </c>
      <c r="I52" s="4097" t="s">
        <v>1085</v>
      </c>
    </row>
    <row r="53" spans="1:9" s="87" customFormat="1" ht="24" customHeight="1" thickBot="1">
      <c r="A53" s="3969" t="s">
        <v>414</v>
      </c>
      <c r="B53" s="3911"/>
      <c r="C53" s="3991" t="s">
        <v>117</v>
      </c>
      <c r="D53" s="4202"/>
      <c r="E53" s="3915">
        <f>E54</f>
        <v>71500</v>
      </c>
      <c r="F53" s="3973">
        <f>F54</f>
        <v>71500</v>
      </c>
      <c r="G53" s="3916">
        <f t="shared" ref="G53:H53" si="6">G54</f>
        <v>71500</v>
      </c>
      <c r="H53" s="3973">
        <f t="shared" si="6"/>
        <v>0</v>
      </c>
      <c r="I53" s="4203"/>
    </row>
    <row r="54" spans="1:9" s="87" customFormat="1" ht="30.75" thickBot="1">
      <c r="A54" s="5570"/>
      <c r="B54" s="1290" t="s">
        <v>413</v>
      </c>
      <c r="C54" s="1291" t="s">
        <v>412</v>
      </c>
      <c r="D54" s="987"/>
      <c r="E54" s="1292">
        <f>E55</f>
        <v>71500</v>
      </c>
      <c r="F54" s="1293">
        <f>F55</f>
        <v>71500</v>
      </c>
      <c r="G54" s="1294">
        <f>G55</f>
        <v>71500</v>
      </c>
      <c r="H54" s="1293">
        <f>H55</f>
        <v>0</v>
      </c>
      <c r="I54" s="125"/>
    </row>
    <row r="55" spans="1:9" ht="59.25" customHeight="1" thickBot="1">
      <c r="A55" s="5571"/>
      <c r="B55" s="1214"/>
      <c r="C55" s="1295"/>
      <c r="D55" s="961" t="s">
        <v>78</v>
      </c>
      <c r="E55" s="1296">
        <v>71500</v>
      </c>
      <c r="F55" s="1297">
        <f>SUM(G55:H55)</f>
        <v>71500</v>
      </c>
      <c r="G55" s="1298">
        <v>71500</v>
      </c>
      <c r="H55" s="1299">
        <v>0</v>
      </c>
      <c r="I55" s="4204" t="s">
        <v>1087</v>
      </c>
    </row>
    <row r="56" spans="1:9" s="124" customFormat="1" ht="24.75" customHeight="1" thickBot="1">
      <c r="A56" s="4104" t="s">
        <v>408</v>
      </c>
      <c r="B56" s="4105"/>
      <c r="C56" s="4106" t="s">
        <v>132</v>
      </c>
      <c r="D56" s="4107"/>
      <c r="E56" s="4108">
        <f>E57+E60</f>
        <v>357000</v>
      </c>
      <c r="F56" s="4108">
        <f t="shared" ref="F56:H56" si="7">F57+F60</f>
        <v>328082.51</v>
      </c>
      <c r="G56" s="4108">
        <f t="shared" si="7"/>
        <v>328082.51</v>
      </c>
      <c r="H56" s="4108">
        <f t="shared" si="7"/>
        <v>0</v>
      </c>
      <c r="I56" s="4109"/>
    </row>
    <row r="57" spans="1:9" s="103" customFormat="1" ht="38.1" customHeight="1" thickBot="1">
      <c r="A57" s="393"/>
      <c r="B57" s="373" t="s">
        <v>403</v>
      </c>
      <c r="C57" s="394" t="s">
        <v>137</v>
      </c>
      <c r="D57" s="395"/>
      <c r="E57" s="4110">
        <f>SUM(E58:E59)</f>
        <v>342000</v>
      </c>
      <c r="F57" s="375">
        <f>SUM(F58:F59)</f>
        <v>313082.51</v>
      </c>
      <c r="G57" s="3945">
        <f>SUM(G58:G59)</f>
        <v>313082.51</v>
      </c>
      <c r="H57" s="375">
        <f>SUM(H58:H59)</f>
        <v>0</v>
      </c>
      <c r="I57" s="396"/>
    </row>
    <row r="58" spans="1:9" s="100" customFormat="1" ht="52.5" customHeight="1">
      <c r="A58" s="393"/>
      <c r="B58" s="381"/>
      <c r="C58" s="397"/>
      <c r="D58" s="1072" t="s">
        <v>76</v>
      </c>
      <c r="E58" s="4111">
        <v>330000</v>
      </c>
      <c r="F58" s="1073">
        <f>SUM(G58:H58)</f>
        <v>301082.51</v>
      </c>
      <c r="G58" s="4112">
        <v>301082.51</v>
      </c>
      <c r="H58" s="4113">
        <v>0</v>
      </c>
      <c r="I58" s="4114" t="s">
        <v>512</v>
      </c>
    </row>
    <row r="59" spans="1:9" s="100" customFormat="1" ht="50.25" customHeight="1" thickBot="1">
      <c r="A59" s="4103"/>
      <c r="B59" s="324"/>
      <c r="C59" s="398"/>
      <c r="D59" s="399" t="s">
        <v>78</v>
      </c>
      <c r="E59" s="349">
        <v>12000</v>
      </c>
      <c r="F59" s="322">
        <f>SUM(G59:H59)</f>
        <v>12000</v>
      </c>
      <c r="G59" s="400">
        <v>12000</v>
      </c>
      <c r="H59" s="401">
        <v>0</v>
      </c>
      <c r="I59" s="402" t="s">
        <v>558</v>
      </c>
    </row>
    <row r="60" spans="1:9" s="87" customFormat="1" ht="24" customHeight="1" thickBot="1">
      <c r="A60" s="119"/>
      <c r="B60" s="1290" t="s">
        <v>401</v>
      </c>
      <c r="C60" s="1291" t="s">
        <v>44</v>
      </c>
      <c r="D60" s="987"/>
      <c r="E60" s="1292">
        <f>E61</f>
        <v>15000</v>
      </c>
      <c r="F60" s="1293">
        <f>F61</f>
        <v>15000</v>
      </c>
      <c r="G60" s="1294">
        <f>G61</f>
        <v>15000</v>
      </c>
      <c r="H60" s="1293">
        <f>H61</f>
        <v>0</v>
      </c>
      <c r="I60" s="125"/>
    </row>
    <row r="61" spans="1:9" ht="72.75" customHeight="1" thickBot="1">
      <c r="A61" s="97"/>
      <c r="B61" s="1214"/>
      <c r="C61" s="1295"/>
      <c r="D61" s="961" t="s">
        <v>78</v>
      </c>
      <c r="E61" s="1296">
        <v>15000</v>
      </c>
      <c r="F61" s="1297">
        <f>SUM(G61:H61)</f>
        <v>15000</v>
      </c>
      <c r="G61" s="1298">
        <v>15000</v>
      </c>
      <c r="H61" s="1299">
        <v>0</v>
      </c>
      <c r="I61" s="1300" t="s">
        <v>1086</v>
      </c>
    </row>
    <row r="62" spans="1:9" s="124" customFormat="1" ht="38.1" customHeight="1" thickBot="1">
      <c r="A62" s="3969" t="s">
        <v>399</v>
      </c>
      <c r="B62" s="3970"/>
      <c r="C62" s="3971" t="s">
        <v>502</v>
      </c>
      <c r="D62" s="4115"/>
      <c r="E62" s="3915">
        <f>E63</f>
        <v>67960</v>
      </c>
      <c r="F62" s="3916">
        <f t="shared" ref="F62:H62" si="8">F63</f>
        <v>67602</v>
      </c>
      <c r="G62" s="3916">
        <f t="shared" si="8"/>
        <v>55602</v>
      </c>
      <c r="H62" s="3916">
        <f t="shared" si="8"/>
        <v>12000</v>
      </c>
      <c r="I62" s="4116"/>
    </row>
    <row r="63" spans="1:9" ht="24" customHeight="1" thickBot="1">
      <c r="A63" s="3956"/>
      <c r="B63" s="3920" t="s">
        <v>398</v>
      </c>
      <c r="C63" s="4117" t="s">
        <v>397</v>
      </c>
      <c r="D63" s="4118"/>
      <c r="E63" s="3976">
        <f>SUM(E64:E65)</f>
        <v>67960</v>
      </c>
      <c r="F63" s="4119">
        <f>SUM(G63:H63)</f>
        <v>67602</v>
      </c>
      <c r="G63" s="4120">
        <f>SUM(G64:G65)</f>
        <v>55602</v>
      </c>
      <c r="H63" s="4044">
        <f>SUM(H64:H65)</f>
        <v>12000</v>
      </c>
      <c r="I63" s="4121"/>
    </row>
    <row r="64" spans="1:9" ht="186" customHeight="1">
      <c r="A64" s="119"/>
      <c r="B64" s="4122"/>
      <c r="C64" s="4070"/>
      <c r="D64" s="1357" t="s">
        <v>78</v>
      </c>
      <c r="E64" s="3979">
        <v>55960</v>
      </c>
      <c r="F64" s="1218">
        <f>SUM(G64:H64)</f>
        <v>55602</v>
      </c>
      <c r="G64" s="1219">
        <v>55602</v>
      </c>
      <c r="H64" s="1218">
        <v>0</v>
      </c>
      <c r="I64" s="4123" t="s">
        <v>1093</v>
      </c>
    </row>
    <row r="65" spans="1:9" ht="57.75" thickBot="1">
      <c r="A65" s="117"/>
      <c r="B65" s="1301"/>
      <c r="C65" s="985"/>
      <c r="D65" s="966" t="s">
        <v>310</v>
      </c>
      <c r="E65" s="1057">
        <v>12000</v>
      </c>
      <c r="F65" s="1058">
        <f>SUM(G65:H65)</f>
        <v>12000</v>
      </c>
      <c r="G65" s="1059">
        <v>0</v>
      </c>
      <c r="H65" s="1058">
        <v>12000</v>
      </c>
      <c r="I65" s="1302" t="s">
        <v>1090</v>
      </c>
    </row>
    <row r="66" spans="1:9" s="79" customFormat="1" ht="24" customHeight="1" thickBot="1">
      <c r="A66" s="1014" t="s">
        <v>393</v>
      </c>
      <c r="B66" s="1015"/>
      <c r="C66" s="1016" t="s">
        <v>194</v>
      </c>
      <c r="D66" s="1017"/>
      <c r="E66" s="1018">
        <f>E67+E69</f>
        <v>36000</v>
      </c>
      <c r="F66" s="1019">
        <f>F67+F69</f>
        <v>36000</v>
      </c>
      <c r="G66" s="1019">
        <f t="shared" ref="G66:H66" si="9">G67+G69</f>
        <v>0</v>
      </c>
      <c r="H66" s="1019">
        <f t="shared" si="9"/>
        <v>36000</v>
      </c>
      <c r="I66" s="1020"/>
    </row>
    <row r="67" spans="1:9" s="123" customFormat="1" ht="24" customHeight="1" thickBot="1">
      <c r="A67" s="5572"/>
      <c r="B67" s="992">
        <v>80101</v>
      </c>
      <c r="C67" s="993" t="s">
        <v>511</v>
      </c>
      <c r="D67" s="951"/>
      <c r="E67" s="994">
        <f>SUM(E68:E68)</f>
        <v>24000</v>
      </c>
      <c r="F67" s="980">
        <f>SUM(F68:F68)</f>
        <v>24000</v>
      </c>
      <c r="G67" s="995">
        <f>SUM(G68:G68)</f>
        <v>0</v>
      </c>
      <c r="H67" s="980">
        <f>SUM(H68:H68)</f>
        <v>24000</v>
      </c>
      <c r="I67" s="996"/>
    </row>
    <row r="68" spans="1:9" s="122" customFormat="1" ht="91.5" customHeight="1" thickBot="1">
      <c r="A68" s="5510"/>
      <c r="B68" s="997"/>
      <c r="C68" s="998"/>
      <c r="D68" s="961">
        <v>6300</v>
      </c>
      <c r="E68" s="999">
        <v>24000</v>
      </c>
      <c r="F68" s="1000">
        <f>SUM(G68:H68)</f>
        <v>24000</v>
      </c>
      <c r="G68" s="1001">
        <v>0</v>
      </c>
      <c r="H68" s="1000">
        <v>24000</v>
      </c>
      <c r="I68" s="1002" t="s">
        <v>1056</v>
      </c>
    </row>
    <row r="69" spans="1:9" s="79" customFormat="1" ht="25.5" customHeight="1" thickBot="1">
      <c r="A69" s="5510"/>
      <c r="B69" s="889" t="s">
        <v>391</v>
      </c>
      <c r="C69" s="1003" t="s">
        <v>44</v>
      </c>
      <c r="D69" s="1004"/>
      <c r="E69" s="952">
        <f>SUM(E70:E70)</f>
        <v>12000</v>
      </c>
      <c r="F69" s="890">
        <f>SUM(F70:F70)</f>
        <v>12000</v>
      </c>
      <c r="G69" s="1005">
        <f>SUM(G70:G70)</f>
        <v>0</v>
      </c>
      <c r="H69" s="890">
        <f>SUM(H70:H70)</f>
        <v>12000</v>
      </c>
      <c r="I69" s="996"/>
    </row>
    <row r="70" spans="1:9" s="79" customFormat="1" ht="65.25" customHeight="1" thickBot="1">
      <c r="A70" s="1006"/>
      <c r="B70" s="1007"/>
      <c r="C70" s="1008"/>
      <c r="D70" s="1009" t="s">
        <v>310</v>
      </c>
      <c r="E70" s="1010">
        <v>12000</v>
      </c>
      <c r="F70" s="1011">
        <f>SUM(G70:H70)</f>
        <v>12000</v>
      </c>
      <c r="G70" s="1012">
        <v>0</v>
      </c>
      <c r="H70" s="1011">
        <v>12000</v>
      </c>
      <c r="I70" s="1013" t="s">
        <v>1057</v>
      </c>
    </row>
    <row r="71" spans="1:9" ht="24" customHeight="1" thickBot="1">
      <c r="A71" s="1014" t="s">
        <v>390</v>
      </c>
      <c r="B71" s="1015"/>
      <c r="C71" s="1016" t="s">
        <v>213</v>
      </c>
      <c r="D71" s="1017"/>
      <c r="E71" s="1018">
        <f>E72</f>
        <v>50000</v>
      </c>
      <c r="F71" s="1019">
        <f>F72</f>
        <v>49900</v>
      </c>
      <c r="G71" s="1019">
        <f t="shared" ref="G71:H71" si="10">G72</f>
        <v>3400</v>
      </c>
      <c r="H71" s="1019">
        <f t="shared" si="10"/>
        <v>46500</v>
      </c>
      <c r="I71" s="1020"/>
    </row>
    <row r="72" spans="1:9" s="1209" customFormat="1" ht="24" customHeight="1" thickBot="1">
      <c r="A72" s="959"/>
      <c r="B72" s="1319">
        <v>85154</v>
      </c>
      <c r="C72" s="1320" t="s">
        <v>385</v>
      </c>
      <c r="D72" s="1321"/>
      <c r="E72" s="1322">
        <f>SUM(E73:E74)</f>
        <v>50000</v>
      </c>
      <c r="F72" s="1323">
        <f>SUM(F73:F74)</f>
        <v>49900</v>
      </c>
      <c r="G72" s="1323">
        <f t="shared" ref="G72:H72" si="11">SUM(G73:G74)</f>
        <v>3400</v>
      </c>
      <c r="H72" s="1323">
        <f t="shared" si="11"/>
        <v>46500</v>
      </c>
      <c r="I72" s="1324"/>
    </row>
    <row r="73" spans="1:9" s="1210" customFormat="1" ht="45" customHeight="1">
      <c r="A73" s="783"/>
      <c r="B73" s="4124"/>
      <c r="C73" s="4125"/>
      <c r="D73" s="4126">
        <v>2310</v>
      </c>
      <c r="E73" s="978">
        <v>3500</v>
      </c>
      <c r="F73" s="976">
        <v>3400</v>
      </c>
      <c r="G73" s="1325">
        <v>3400</v>
      </c>
      <c r="H73" s="976">
        <v>0</v>
      </c>
      <c r="I73" s="974" t="s">
        <v>1091</v>
      </c>
    </row>
    <row r="74" spans="1:9" s="1210" customFormat="1" ht="56.25" customHeight="1" thickBot="1">
      <c r="A74" s="1006"/>
      <c r="B74" s="997"/>
      <c r="C74" s="998"/>
      <c r="D74" s="961">
        <v>6610</v>
      </c>
      <c r="E74" s="999">
        <v>46500</v>
      </c>
      <c r="F74" s="1000">
        <v>46500</v>
      </c>
      <c r="G74" s="1001">
        <v>0</v>
      </c>
      <c r="H74" s="1000">
        <v>46500</v>
      </c>
      <c r="I74" s="974" t="s">
        <v>1092</v>
      </c>
    </row>
    <row r="75" spans="1:9" s="85" customFormat="1" ht="48" customHeight="1" thickBot="1">
      <c r="A75" s="1047" t="s">
        <v>376</v>
      </c>
      <c r="B75" s="1048"/>
      <c r="C75" s="1049" t="s">
        <v>236</v>
      </c>
      <c r="D75" s="1050"/>
      <c r="E75" s="1051">
        <f t="shared" ref="E75:H76" si="12">SUM(E76)</f>
        <v>10200</v>
      </c>
      <c r="F75" s="887">
        <f t="shared" si="12"/>
        <v>10200</v>
      </c>
      <c r="G75" s="1052">
        <f t="shared" si="12"/>
        <v>10200</v>
      </c>
      <c r="H75" s="887">
        <f t="shared" si="12"/>
        <v>0</v>
      </c>
      <c r="I75" s="1053"/>
    </row>
    <row r="76" spans="1:9" s="85" customFormat="1" ht="24.75" customHeight="1" thickBot="1">
      <c r="A76" s="5572"/>
      <c r="B76" s="889" t="s">
        <v>371</v>
      </c>
      <c r="C76" s="1003" t="s">
        <v>44</v>
      </c>
      <c r="D76" s="951"/>
      <c r="E76" s="979">
        <f t="shared" si="12"/>
        <v>10200</v>
      </c>
      <c r="F76" s="980">
        <f t="shared" si="12"/>
        <v>10200</v>
      </c>
      <c r="G76" s="995">
        <f t="shared" si="12"/>
        <v>10200</v>
      </c>
      <c r="H76" s="980">
        <f t="shared" si="12"/>
        <v>0</v>
      </c>
      <c r="I76" s="121"/>
    </row>
    <row r="77" spans="1:9" s="85" customFormat="1" ht="60.75" customHeight="1" thickBot="1">
      <c r="A77" s="5561"/>
      <c r="B77" s="1007"/>
      <c r="C77" s="1008"/>
      <c r="D77" s="966" t="s">
        <v>78</v>
      </c>
      <c r="E77" s="1057">
        <v>10200</v>
      </c>
      <c r="F77" s="1058">
        <f>SUM(G77:H77)</f>
        <v>10200</v>
      </c>
      <c r="G77" s="1059">
        <v>10200</v>
      </c>
      <c r="H77" s="1058">
        <v>0</v>
      </c>
      <c r="I77" s="969" t="s">
        <v>1089</v>
      </c>
    </row>
    <row r="78" spans="1:9" s="1054" customFormat="1" ht="38.1" customHeight="1" thickBot="1">
      <c r="A78" s="3969" t="s">
        <v>370</v>
      </c>
      <c r="B78" s="3970"/>
      <c r="C78" s="3971" t="s">
        <v>246</v>
      </c>
      <c r="D78" s="4115"/>
      <c r="E78" s="3972">
        <f t="shared" ref="E78:H78" si="13">SUM(E79)</f>
        <v>220000</v>
      </c>
      <c r="F78" s="3916">
        <f t="shared" si="13"/>
        <v>220000</v>
      </c>
      <c r="G78" s="3973">
        <f t="shared" si="13"/>
        <v>148000</v>
      </c>
      <c r="H78" s="3916">
        <f t="shared" si="13"/>
        <v>72000</v>
      </c>
      <c r="I78" s="4127"/>
    </row>
    <row r="79" spans="1:9" s="1054" customFormat="1" ht="36" customHeight="1" thickBot="1">
      <c r="A79" s="5579"/>
      <c r="B79" s="3920" t="s">
        <v>368</v>
      </c>
      <c r="C79" s="3995" t="s">
        <v>367</v>
      </c>
      <c r="D79" s="3996"/>
      <c r="E79" s="4043">
        <f>SUM(E80:E81)</f>
        <v>220000</v>
      </c>
      <c r="F79" s="4044">
        <f>SUM(F80:F81)</f>
        <v>220000</v>
      </c>
      <c r="G79" s="4044">
        <f t="shared" ref="G79:H79" si="14">SUM(G80:G81)</f>
        <v>148000</v>
      </c>
      <c r="H79" s="4044">
        <f t="shared" si="14"/>
        <v>72000</v>
      </c>
      <c r="I79" s="4128"/>
    </row>
    <row r="80" spans="1:9" s="1054" customFormat="1" ht="32.25" customHeight="1">
      <c r="A80" s="5580"/>
      <c r="B80" s="784"/>
      <c r="C80" s="4129"/>
      <c r="D80" s="4130" t="s">
        <v>78</v>
      </c>
      <c r="E80" s="4131">
        <v>148000</v>
      </c>
      <c r="F80" s="4132">
        <f>SUM(G80:H80)</f>
        <v>148000</v>
      </c>
      <c r="G80" s="3927">
        <v>148000</v>
      </c>
      <c r="H80" s="4132">
        <v>0</v>
      </c>
      <c r="I80" s="5608" t="s">
        <v>1058</v>
      </c>
    </row>
    <row r="81" spans="1:11" s="1054" customFormat="1" ht="32.25" customHeight="1" thickBot="1">
      <c r="A81" s="1055"/>
      <c r="B81" s="1007"/>
      <c r="C81" s="1056"/>
      <c r="D81" s="966">
        <v>6300</v>
      </c>
      <c r="E81" s="1057">
        <v>72000</v>
      </c>
      <c r="F81" s="1058">
        <f>SUM(G81:H81)</f>
        <v>72000</v>
      </c>
      <c r="G81" s="1059">
        <v>0</v>
      </c>
      <c r="H81" s="1058">
        <v>72000</v>
      </c>
      <c r="I81" s="5609"/>
    </row>
    <row r="82" spans="1:11" s="85" customFormat="1" ht="38.1" customHeight="1" thickBot="1">
      <c r="A82" s="3969" t="s">
        <v>359</v>
      </c>
      <c r="B82" s="3970"/>
      <c r="C82" s="3971" t="s">
        <v>254</v>
      </c>
      <c r="D82" s="4115"/>
      <c r="E82" s="3972">
        <f>SUM(E83,E85)</f>
        <v>106352</v>
      </c>
      <c r="F82" s="3916">
        <f>SUM(F83,F85)</f>
        <v>84837.97</v>
      </c>
      <c r="G82" s="3973">
        <f>SUM(G83,G85)</f>
        <v>22836</v>
      </c>
      <c r="H82" s="3916">
        <f>SUM(H83,H85)</f>
        <v>62001.97</v>
      </c>
      <c r="I82" s="4127"/>
    </row>
    <row r="83" spans="1:11" s="1054" customFormat="1" ht="35.25" customHeight="1" thickBot="1">
      <c r="A83" s="3994"/>
      <c r="B83" s="3920" t="s">
        <v>942</v>
      </c>
      <c r="C83" s="3995" t="s">
        <v>1077</v>
      </c>
      <c r="D83" s="3996"/>
      <c r="E83" s="1206">
        <f>SUM(E84)</f>
        <v>34843</v>
      </c>
      <c r="F83" s="4044">
        <f>SUM(F84)</f>
        <v>26001.97</v>
      </c>
      <c r="G83" s="1207">
        <f>SUM(G84)</f>
        <v>0</v>
      </c>
      <c r="H83" s="1208">
        <f>SUM(H84)</f>
        <v>26001.97</v>
      </c>
      <c r="I83" s="4133"/>
    </row>
    <row r="84" spans="1:11" s="1054" customFormat="1" ht="73.5" customHeight="1" thickBot="1">
      <c r="A84" s="953"/>
      <c r="B84" s="1007"/>
      <c r="C84" s="1008"/>
      <c r="D84" s="966" t="s">
        <v>310</v>
      </c>
      <c r="E84" s="1057">
        <v>34843</v>
      </c>
      <c r="F84" s="4404">
        <f>SUM(G84:H84)</f>
        <v>26001.97</v>
      </c>
      <c r="G84" s="1059">
        <v>0</v>
      </c>
      <c r="H84" s="1058">
        <v>26001.97</v>
      </c>
      <c r="I84" s="969" t="s">
        <v>1078</v>
      </c>
    </row>
    <row r="85" spans="1:11" s="85" customFormat="1" ht="24" customHeight="1" thickBot="1">
      <c r="A85" s="119"/>
      <c r="B85" s="1064" t="s">
        <v>348</v>
      </c>
      <c r="C85" s="1289" t="s">
        <v>44</v>
      </c>
      <c r="D85" s="1066"/>
      <c r="E85" s="1206">
        <f>SUM(E86:E87)</f>
        <v>71509</v>
      </c>
      <c r="F85" s="4405">
        <f>SUM(F86:F87)</f>
        <v>58836</v>
      </c>
      <c r="G85" s="1207">
        <f>SUM(G86:G87)</f>
        <v>22836</v>
      </c>
      <c r="H85" s="1208">
        <f>SUM(H86:H87)</f>
        <v>36000</v>
      </c>
      <c r="I85" s="118"/>
    </row>
    <row r="86" spans="1:11" s="85" customFormat="1" ht="102" customHeight="1">
      <c r="A86" s="119"/>
      <c r="B86" s="5547"/>
      <c r="C86" s="5545"/>
      <c r="D86" s="4134" t="s">
        <v>78</v>
      </c>
      <c r="E86" s="4060">
        <v>23509</v>
      </c>
      <c r="F86" s="976">
        <f>SUM(G86:H86)</f>
        <v>22836</v>
      </c>
      <c r="G86" s="4032">
        <v>22836</v>
      </c>
      <c r="H86" s="976">
        <v>0</v>
      </c>
      <c r="I86" s="4135" t="s">
        <v>1088</v>
      </c>
    </row>
    <row r="87" spans="1:11" s="85" customFormat="1" ht="146.25" customHeight="1" thickBot="1">
      <c r="A87" s="117"/>
      <c r="B87" s="5577"/>
      <c r="C87" s="5578"/>
      <c r="D87" s="4136" t="s">
        <v>310</v>
      </c>
      <c r="E87" s="4137">
        <v>48000</v>
      </c>
      <c r="F87" s="4138">
        <f>SUM(G87:H87)</f>
        <v>36000</v>
      </c>
      <c r="G87" s="4139">
        <v>0</v>
      </c>
      <c r="H87" s="4138">
        <v>36000</v>
      </c>
      <c r="I87" s="4042" t="s">
        <v>1127</v>
      </c>
    </row>
    <row r="88" spans="1:11" s="101" customFormat="1" ht="38.1" customHeight="1" thickBot="1">
      <c r="A88" s="392" t="s">
        <v>347</v>
      </c>
      <c r="B88" s="365"/>
      <c r="C88" s="403" t="s">
        <v>273</v>
      </c>
      <c r="D88" s="404"/>
      <c r="E88" s="405">
        <f>SUM(E89,E91,E96,E98,E101)</f>
        <v>3119534</v>
      </c>
      <c r="F88" s="405">
        <f t="shared" ref="F88:H88" si="15">SUM(F89,F91,F96,F98,F101)</f>
        <v>1100789</v>
      </c>
      <c r="G88" s="405">
        <f t="shared" si="15"/>
        <v>473731</v>
      </c>
      <c r="H88" s="1211">
        <f t="shared" si="15"/>
        <v>627058</v>
      </c>
      <c r="I88" s="406"/>
    </row>
    <row r="89" spans="1:11" s="101" customFormat="1" ht="38.1" customHeight="1" thickBot="1">
      <c r="A89" s="4140"/>
      <c r="B89" s="3940" t="s">
        <v>346</v>
      </c>
      <c r="C89" s="4141" t="s">
        <v>274</v>
      </c>
      <c r="D89" s="4142"/>
      <c r="E89" s="4143">
        <f>SUM(E90:E90)</f>
        <v>24000</v>
      </c>
      <c r="F89" s="4144">
        <f>SUM(F90:F90)</f>
        <v>24000</v>
      </c>
      <c r="G89" s="4145">
        <f>SUM(G90:G90)</f>
        <v>24000</v>
      </c>
      <c r="H89" s="4146">
        <f>SUM(H90:H90)</f>
        <v>0</v>
      </c>
      <c r="I89" s="4147"/>
    </row>
    <row r="90" spans="1:11" s="101" customFormat="1" ht="99" customHeight="1" thickBot="1">
      <c r="A90" s="4148"/>
      <c r="B90" s="4149"/>
      <c r="C90" s="4150"/>
      <c r="D90" s="399" t="s">
        <v>78</v>
      </c>
      <c r="E90" s="4151">
        <v>24000</v>
      </c>
      <c r="F90" s="322">
        <f>SUM(G90:H90)</f>
        <v>24000</v>
      </c>
      <c r="G90" s="411">
        <v>24000</v>
      </c>
      <c r="H90" s="339">
        <v>0</v>
      </c>
      <c r="I90" s="412" t="s">
        <v>1116</v>
      </c>
    </row>
    <row r="91" spans="1:11" s="101" customFormat="1" ht="38.1" customHeight="1" thickBot="1">
      <c r="A91" s="4161"/>
      <c r="B91" s="4162">
        <v>92109</v>
      </c>
      <c r="C91" s="4163" t="s">
        <v>280</v>
      </c>
      <c r="D91" s="4164"/>
      <c r="E91" s="4165">
        <f>SUM(E92:E95)</f>
        <v>311477</v>
      </c>
      <c r="F91" s="4166">
        <f>SUM(F92:F95)</f>
        <v>308254</v>
      </c>
      <c r="G91" s="4167">
        <f>SUM(G92:G95)</f>
        <v>236876</v>
      </c>
      <c r="H91" s="4166">
        <f>SUM(H92:H95)</f>
        <v>71378</v>
      </c>
      <c r="I91" s="4168"/>
    </row>
    <row r="92" spans="1:11" s="101" customFormat="1" ht="406.5" customHeight="1">
      <c r="A92" s="413"/>
      <c r="B92" s="4154"/>
      <c r="C92" s="4169"/>
      <c r="D92" s="4159">
        <v>2710</v>
      </c>
      <c r="E92" s="407">
        <v>239717</v>
      </c>
      <c r="F92" s="4160">
        <f>SUM(G92:H92)</f>
        <v>236876</v>
      </c>
      <c r="G92" s="408">
        <v>236876</v>
      </c>
      <c r="H92" s="4160">
        <v>0</v>
      </c>
      <c r="I92" s="4205" t="s">
        <v>1111</v>
      </c>
    </row>
    <row r="93" spans="1:11" s="101" customFormat="1" ht="150" customHeight="1" thickBot="1">
      <c r="A93" s="1359"/>
      <c r="B93" s="4206"/>
      <c r="C93" s="4152"/>
      <c r="D93" s="416"/>
      <c r="E93" s="4207"/>
      <c r="F93" s="1358"/>
      <c r="G93" s="1358"/>
      <c r="H93" s="1358"/>
      <c r="I93" s="4214" t="s">
        <v>1126</v>
      </c>
    </row>
    <row r="94" spans="1:11" s="101" customFormat="1" ht="213" customHeight="1">
      <c r="A94" s="413"/>
      <c r="B94" s="4208"/>
      <c r="C94" s="4209"/>
      <c r="D94" s="4210" t="s">
        <v>1099</v>
      </c>
      <c r="E94" s="4211"/>
      <c r="F94" s="4212"/>
      <c r="G94" s="4213"/>
      <c r="H94" s="4212"/>
      <c r="I94" s="4481" t="s">
        <v>1125</v>
      </c>
    </row>
    <row r="95" spans="1:11" s="101" customFormat="1" ht="226.5" customHeight="1" thickBot="1">
      <c r="A95" s="393"/>
      <c r="B95" s="4153"/>
      <c r="C95" s="4152"/>
      <c r="D95" s="4155">
        <v>6300</v>
      </c>
      <c r="E95" s="4156">
        <v>71760</v>
      </c>
      <c r="F95" s="4157">
        <f>SUM(G95:H95)</f>
        <v>71378</v>
      </c>
      <c r="G95" s="4157">
        <v>0</v>
      </c>
      <c r="H95" s="4157">
        <v>71378</v>
      </c>
      <c r="I95" s="4158" t="s">
        <v>1119</v>
      </c>
      <c r="K95" s="120"/>
    </row>
    <row r="96" spans="1:11" s="101" customFormat="1" ht="21" customHeight="1" thickBot="1">
      <c r="A96" s="393"/>
      <c r="B96" s="3940" t="s">
        <v>345</v>
      </c>
      <c r="C96" s="4170" t="s">
        <v>344</v>
      </c>
      <c r="D96" s="4142"/>
      <c r="E96" s="4110">
        <f>SUM(E97:E97)</f>
        <v>9336</v>
      </c>
      <c r="F96" s="4171">
        <f>SUM(F97:F97)</f>
        <v>9192</v>
      </c>
      <c r="G96" s="3945">
        <f>SUM(G97:G97)</f>
        <v>9192</v>
      </c>
      <c r="H96" s="3945">
        <f>SUM(H97:H97)</f>
        <v>0</v>
      </c>
      <c r="I96" s="4147"/>
    </row>
    <row r="97" spans="1:11" s="100" customFormat="1" ht="44.25" customHeight="1" thickBot="1">
      <c r="A97" s="393"/>
      <c r="B97" s="4172"/>
      <c r="C97" s="4173"/>
      <c r="D97" s="4159" t="s">
        <v>78</v>
      </c>
      <c r="E97" s="4174">
        <v>9336</v>
      </c>
      <c r="F97" s="4175">
        <f>SUM(G97:H97)</f>
        <v>9192</v>
      </c>
      <c r="G97" s="408">
        <v>9192</v>
      </c>
      <c r="H97" s="4160">
        <v>0</v>
      </c>
      <c r="I97" s="4176" t="s">
        <v>1096</v>
      </c>
    </row>
    <row r="98" spans="1:11" s="101" customFormat="1" ht="29.25" customHeight="1" thickBot="1">
      <c r="A98" s="393"/>
      <c r="B98" s="3940" t="s">
        <v>340</v>
      </c>
      <c r="C98" s="4170" t="s">
        <v>287</v>
      </c>
      <c r="D98" s="4142"/>
      <c r="E98" s="4143">
        <f>SUM(E99:E100)</f>
        <v>512000</v>
      </c>
      <c r="F98" s="4110">
        <f t="shared" ref="F98:H98" si="16">SUM(F99:F100)</f>
        <v>512000</v>
      </c>
      <c r="G98" s="4177">
        <f t="shared" si="16"/>
        <v>12000</v>
      </c>
      <c r="H98" s="4110">
        <f t="shared" si="16"/>
        <v>500000</v>
      </c>
      <c r="I98" s="4147"/>
    </row>
    <row r="99" spans="1:11" s="101" customFormat="1" ht="57.75" customHeight="1">
      <c r="A99" s="5581"/>
      <c r="B99" s="5568"/>
      <c r="C99" s="5566"/>
      <c r="D99" s="1072" t="s">
        <v>78</v>
      </c>
      <c r="E99" s="4178">
        <v>12000</v>
      </c>
      <c r="F99" s="1073">
        <f>SUM(G99:H99)</f>
        <v>12000</v>
      </c>
      <c r="G99" s="1074">
        <v>12000</v>
      </c>
      <c r="H99" s="1075">
        <v>0</v>
      </c>
      <c r="I99" s="4179" t="s">
        <v>559</v>
      </c>
    </row>
    <row r="100" spans="1:11" s="101" customFormat="1" ht="55.5" customHeight="1" thickBot="1">
      <c r="A100" s="5582"/>
      <c r="B100" s="5569"/>
      <c r="C100" s="5567"/>
      <c r="D100" s="399">
        <v>6300</v>
      </c>
      <c r="E100" s="410">
        <v>500000</v>
      </c>
      <c r="F100" s="322">
        <f>SUM(G100:H100)</f>
        <v>500000</v>
      </c>
      <c r="G100" s="411"/>
      <c r="H100" s="339">
        <v>500000</v>
      </c>
      <c r="I100" s="412" t="s">
        <v>1128</v>
      </c>
    </row>
    <row r="101" spans="1:11" s="101" customFormat="1" ht="24" customHeight="1" thickBot="1">
      <c r="A101" s="4140"/>
      <c r="B101" s="3963">
        <v>92195</v>
      </c>
      <c r="C101" s="4141" t="s">
        <v>44</v>
      </c>
      <c r="D101" s="4180"/>
      <c r="E101" s="4181">
        <f>SUM(E102:E104)</f>
        <v>2262721</v>
      </c>
      <c r="F101" s="4146">
        <f>SUM(F102:F104)</f>
        <v>247343</v>
      </c>
      <c r="G101" s="4145">
        <f>SUM(G102:G104)</f>
        <v>191663</v>
      </c>
      <c r="H101" s="4146">
        <f>SUM(H102:H104)</f>
        <v>55680</v>
      </c>
      <c r="I101" s="4182"/>
    </row>
    <row r="102" spans="1:11" s="101" customFormat="1" ht="219.75" customHeight="1">
      <c r="A102" s="393"/>
      <c r="B102" s="4183"/>
      <c r="C102" s="5575"/>
      <c r="D102" s="5589">
        <v>2710</v>
      </c>
      <c r="E102" s="5591">
        <v>195041</v>
      </c>
      <c r="F102" s="5593">
        <f>G102+H102</f>
        <v>191663</v>
      </c>
      <c r="G102" s="5595">
        <v>191663</v>
      </c>
      <c r="H102" s="5593">
        <v>0</v>
      </c>
      <c r="I102" s="5583" t="s">
        <v>1097</v>
      </c>
      <c r="K102" s="414"/>
    </row>
    <row r="103" spans="1:11" s="101" customFormat="1" ht="327" customHeight="1" thickBot="1">
      <c r="A103" s="409"/>
      <c r="B103" s="415"/>
      <c r="C103" s="5576"/>
      <c r="D103" s="5590"/>
      <c r="E103" s="5592"/>
      <c r="F103" s="5594"/>
      <c r="G103" s="5596"/>
      <c r="H103" s="5594"/>
      <c r="I103" s="5584"/>
    </row>
    <row r="104" spans="1:11" s="101" customFormat="1" ht="201" customHeight="1" thickBot="1">
      <c r="A104" s="409"/>
      <c r="B104" s="415"/>
      <c r="C104" s="417"/>
      <c r="D104" s="416">
        <v>6300</v>
      </c>
      <c r="E104" s="418">
        <v>2067680</v>
      </c>
      <c r="F104" s="419">
        <f>G104+H104</f>
        <v>55680</v>
      </c>
      <c r="G104" s="419">
        <v>0</v>
      </c>
      <c r="H104" s="419">
        <v>55680</v>
      </c>
      <c r="I104" s="420" t="s">
        <v>1112</v>
      </c>
    </row>
    <row r="105" spans="1:11" s="1054" customFormat="1" ht="24" customHeight="1" thickBot="1">
      <c r="A105" s="1047" t="s">
        <v>318</v>
      </c>
      <c r="B105" s="1060"/>
      <c r="C105" s="1049" t="s">
        <v>292</v>
      </c>
      <c r="D105" s="1050"/>
      <c r="E105" s="1061">
        <f>SUM(E106,E109)</f>
        <v>143986</v>
      </c>
      <c r="F105" s="887">
        <f>SUM(F106,F109)</f>
        <v>143659</v>
      </c>
      <c r="G105" s="887">
        <f t="shared" ref="G105:H105" si="17">SUM(G106,G109)</f>
        <v>35659</v>
      </c>
      <c r="H105" s="887">
        <f t="shared" si="17"/>
        <v>108000</v>
      </c>
      <c r="I105" s="1053"/>
    </row>
    <row r="106" spans="1:11" s="1054" customFormat="1" ht="24" customHeight="1" thickBot="1">
      <c r="A106" s="3994"/>
      <c r="B106" s="4184">
        <v>92601</v>
      </c>
      <c r="C106" s="4117" t="s">
        <v>317</v>
      </c>
      <c r="D106" s="4185"/>
      <c r="E106" s="4186">
        <f>SUM(E107:E108)</f>
        <v>60000</v>
      </c>
      <c r="F106" s="4044">
        <f>SUM(F107:F108)</f>
        <v>60000</v>
      </c>
      <c r="G106" s="4187">
        <f>SUM(G107:G108)</f>
        <v>0</v>
      </c>
      <c r="H106" s="4044">
        <f>SUM(H107:H108)</f>
        <v>60000</v>
      </c>
      <c r="I106" s="4188"/>
    </row>
    <row r="107" spans="1:11" s="1054" customFormat="1" ht="47.25" hidden="1" customHeight="1">
      <c r="A107" s="953"/>
      <c r="B107" s="5585"/>
      <c r="C107" s="5587"/>
      <c r="D107" s="4009">
        <v>2710</v>
      </c>
      <c r="E107" s="1062"/>
      <c r="F107" s="4189"/>
      <c r="G107" s="1063"/>
      <c r="H107" s="4189"/>
      <c r="I107" s="4190" t="s">
        <v>510</v>
      </c>
    </row>
    <row r="108" spans="1:11" s="1054" customFormat="1" ht="197.25" customHeight="1" thickBot="1">
      <c r="A108" s="953"/>
      <c r="B108" s="5586"/>
      <c r="C108" s="5588"/>
      <c r="D108" s="4191">
        <v>6300</v>
      </c>
      <c r="E108" s="4192">
        <v>60000</v>
      </c>
      <c r="F108" s="4193">
        <f>SUM(G108:H108)</f>
        <v>60000</v>
      </c>
      <c r="G108" s="4194">
        <v>0</v>
      </c>
      <c r="H108" s="4193">
        <v>60000</v>
      </c>
      <c r="I108" s="4195" t="s">
        <v>1059</v>
      </c>
    </row>
    <row r="109" spans="1:11" s="102" customFormat="1" ht="24" customHeight="1" thickBot="1">
      <c r="A109" s="953"/>
      <c r="B109" s="1064" t="s">
        <v>311</v>
      </c>
      <c r="C109" s="1065" t="s">
        <v>44</v>
      </c>
      <c r="D109" s="1066"/>
      <c r="E109" s="4196">
        <f>SUM(E110:E111)</f>
        <v>83986</v>
      </c>
      <c r="F109" s="3922">
        <f>SUM(F110:F111)</f>
        <v>83659</v>
      </c>
      <c r="G109" s="3923">
        <f>SUM(G110:G111)</f>
        <v>35659</v>
      </c>
      <c r="H109" s="3922">
        <f>SUM(H110:H111)</f>
        <v>48000</v>
      </c>
      <c r="I109" s="1067"/>
    </row>
    <row r="110" spans="1:11" s="102" customFormat="1" ht="148.5" customHeight="1" thickBot="1">
      <c r="A110" s="963"/>
      <c r="B110" s="4197"/>
      <c r="C110" s="4198"/>
      <c r="D110" s="4047" t="s">
        <v>78</v>
      </c>
      <c r="E110" s="4094">
        <v>35986</v>
      </c>
      <c r="F110" s="4199">
        <f>SUM(G110:H110)</f>
        <v>35659</v>
      </c>
      <c r="G110" s="4200">
        <v>35659</v>
      </c>
      <c r="H110" s="4051">
        <v>0</v>
      </c>
      <c r="I110" s="4201" t="s">
        <v>1124</v>
      </c>
    </row>
    <row r="111" spans="1:11" s="102" customFormat="1" ht="182.25" customHeight="1" thickBot="1">
      <c r="A111" s="963"/>
      <c r="B111" s="1068"/>
      <c r="C111" s="1069"/>
      <c r="D111" s="966" t="s">
        <v>310</v>
      </c>
      <c r="E111" s="967">
        <v>48000</v>
      </c>
      <c r="F111" s="882">
        <f>SUM(G111:H111)</f>
        <v>48000</v>
      </c>
      <c r="G111" s="1070">
        <v>0</v>
      </c>
      <c r="H111" s="1058">
        <v>48000</v>
      </c>
      <c r="I111" s="1071" t="s">
        <v>1060</v>
      </c>
    </row>
    <row r="112" spans="1:11" s="79" customFormat="1" ht="39.75" customHeight="1" thickBot="1">
      <c r="A112" s="5573" t="s">
        <v>453</v>
      </c>
      <c r="B112" s="5574"/>
      <c r="C112" s="5499"/>
      <c r="D112" s="3964"/>
      <c r="E112" s="3965">
        <f>SUM(E7,E13,E45,E56,E62,E66,E71,E75,E78,E82,E88,E105,E53)</f>
        <v>46563704</v>
      </c>
      <c r="F112" s="3966">
        <f t="shared" ref="F112:H112" si="18">SUM(F7,F13,F45,F56,F62,F66,F71,F75,F78,F82,F88,F105,F53)</f>
        <v>38007829.839999996</v>
      </c>
      <c r="G112" s="3966">
        <f t="shared" si="18"/>
        <v>16940470.019999996</v>
      </c>
      <c r="H112" s="3966">
        <f t="shared" si="18"/>
        <v>21067359.82</v>
      </c>
      <c r="I112" s="3967"/>
    </row>
    <row r="114" spans="1:9">
      <c r="E114" s="116"/>
      <c r="F114" s="116"/>
      <c r="G114" s="116"/>
      <c r="H114" s="116"/>
      <c r="I114" s="109"/>
    </row>
    <row r="115" spans="1:9" ht="15">
      <c r="D115" s="111"/>
      <c r="E115" s="111"/>
      <c r="F115" s="108"/>
      <c r="G115" s="108"/>
      <c r="H115" s="111"/>
      <c r="I115" s="110"/>
    </row>
    <row r="116" spans="1:9" ht="15">
      <c r="D116" s="111"/>
      <c r="E116" s="111"/>
      <c r="F116" s="108"/>
      <c r="G116" s="108"/>
      <c r="H116" s="108"/>
      <c r="I116" s="110"/>
    </row>
    <row r="117" spans="1:9" ht="15">
      <c r="D117" s="111"/>
      <c r="E117" s="111"/>
      <c r="F117" s="108"/>
      <c r="G117" s="108"/>
      <c r="H117" s="108"/>
      <c r="I117" s="110"/>
    </row>
    <row r="118" spans="1:9" s="112" customFormat="1" ht="15">
      <c r="A118" s="115"/>
      <c r="B118" s="115"/>
      <c r="C118" s="114"/>
      <c r="D118" s="113"/>
      <c r="E118" s="88"/>
      <c r="F118" s="108"/>
      <c r="G118" s="108"/>
      <c r="H118" s="108"/>
      <c r="I118" s="110"/>
    </row>
    <row r="119" spans="1:9" ht="15">
      <c r="E119" s="111"/>
      <c r="F119" s="108"/>
      <c r="G119" s="108"/>
      <c r="H119" s="108"/>
      <c r="I119" s="110"/>
    </row>
    <row r="120" spans="1:9" ht="15">
      <c r="F120" s="108"/>
      <c r="G120" s="108"/>
      <c r="I120" s="110"/>
    </row>
    <row r="121" spans="1:9">
      <c r="F121" s="108"/>
      <c r="G121" s="108"/>
      <c r="I121" s="109"/>
    </row>
    <row r="122" spans="1:9">
      <c r="F122" s="1197"/>
      <c r="G122" s="1197"/>
      <c r="H122" s="1197"/>
      <c r="I122" s="1197"/>
    </row>
    <row r="124" spans="1:9">
      <c r="E124" s="108"/>
    </row>
    <row r="125" spans="1:9">
      <c r="E125" s="108"/>
    </row>
    <row r="126" spans="1:9">
      <c r="E126" s="108"/>
    </row>
    <row r="127" spans="1:9">
      <c r="E127" s="108"/>
    </row>
    <row r="128" spans="1:9">
      <c r="E128" s="108"/>
    </row>
    <row r="129" spans="5:5">
      <c r="E129" s="108"/>
    </row>
  </sheetData>
  <mergeCells count="58">
    <mergeCell ref="D23:D26"/>
    <mergeCell ref="D27:D28"/>
    <mergeCell ref="D49:D50"/>
    <mergeCell ref="I80:I81"/>
    <mergeCell ref="I17:I19"/>
    <mergeCell ref="H25:H26"/>
    <mergeCell ref="G25:G26"/>
    <mergeCell ref="F25:F26"/>
    <mergeCell ref="E25:E26"/>
    <mergeCell ref="D30:D33"/>
    <mergeCell ref="D36:D40"/>
    <mergeCell ref="D42:D43"/>
    <mergeCell ref="D47:D48"/>
    <mergeCell ref="E47:E48"/>
    <mergeCell ref="F47:F48"/>
    <mergeCell ref="G47:G48"/>
    <mergeCell ref="H47:H48"/>
    <mergeCell ref="I47:I48"/>
    <mergeCell ref="A2:I2"/>
    <mergeCell ref="A3:B3"/>
    <mergeCell ref="A4:A6"/>
    <mergeCell ref="B4:B6"/>
    <mergeCell ref="C4:C6"/>
    <mergeCell ref="D4:D6"/>
    <mergeCell ref="E4:H4"/>
    <mergeCell ref="I4:I6"/>
    <mergeCell ref="E5:E6"/>
    <mergeCell ref="F5:F6"/>
    <mergeCell ref="G5:H5"/>
    <mergeCell ref="B32:B33"/>
    <mergeCell ref="C32:C33"/>
    <mergeCell ref="A18:A19"/>
    <mergeCell ref="A8:A12"/>
    <mergeCell ref="B9:B12"/>
    <mergeCell ref="C9:C12"/>
    <mergeCell ref="B30:B31"/>
    <mergeCell ref="B18:B19"/>
    <mergeCell ref="C18:C19"/>
    <mergeCell ref="C30:C31"/>
    <mergeCell ref="I102:I103"/>
    <mergeCell ref="B107:B108"/>
    <mergeCell ref="C107:C108"/>
    <mergeCell ref="D102:D103"/>
    <mergeCell ref="E102:E103"/>
    <mergeCell ref="F102:F103"/>
    <mergeCell ref="G102:G103"/>
    <mergeCell ref="H102:H103"/>
    <mergeCell ref="C99:C100"/>
    <mergeCell ref="B99:B100"/>
    <mergeCell ref="A54:A55"/>
    <mergeCell ref="A76:A77"/>
    <mergeCell ref="A112:C112"/>
    <mergeCell ref="A67:A69"/>
    <mergeCell ref="C102:C103"/>
    <mergeCell ref="B86:B87"/>
    <mergeCell ref="C86:C87"/>
    <mergeCell ref="A79:A80"/>
    <mergeCell ref="A99:A100"/>
  </mergeCells>
  <printOptions horizontalCentered="1"/>
  <pageMargins left="0.25" right="0.25" top="0.75" bottom="0.75" header="0.3" footer="0.3"/>
  <pageSetup paperSize="9" scale="68" fitToHeight="0" orientation="landscape" r:id="rId1"/>
  <headerFooter>
    <oddFooter>Strona &amp;P z &amp;N</oddFooter>
  </headerFooter>
  <rowBreaks count="10" manualBreakCount="10">
    <brk id="19" max="8" man="1"/>
    <brk id="35" max="8" man="1"/>
    <brk id="44" max="8" man="1"/>
    <brk id="55" max="8" man="1"/>
    <brk id="65" max="8" man="1"/>
    <brk id="81" max="8" man="1"/>
    <brk id="90" max="8" man="1"/>
    <brk id="93" max="8" man="1"/>
    <brk id="100" max="8" man="1"/>
    <brk id="10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29"/>
  <sheetViews>
    <sheetView view="pageBreakPreview" zoomScale="90" zoomScaleNormal="100" zoomScaleSheetLayoutView="90" workbookViewId="0">
      <selection sqref="A1:D2"/>
    </sheetView>
  </sheetViews>
  <sheetFormatPr defaultRowHeight="14.25"/>
  <cols>
    <col min="1" max="1" width="72.140625" style="184" customWidth="1"/>
    <col min="2" max="2" width="19.7109375" style="184" bestFit="1" customWidth="1"/>
    <col min="3" max="3" width="16" style="184" customWidth="1"/>
    <col min="4" max="4" width="13.5703125" style="184" customWidth="1"/>
    <col min="5" max="5" width="15.42578125" style="131" bestFit="1" customWidth="1"/>
    <col min="6" max="6" width="9.140625" style="131"/>
    <col min="7" max="7" width="15.42578125" style="131" bestFit="1" customWidth="1"/>
    <col min="8" max="16384" width="9.140625" style="131"/>
  </cols>
  <sheetData>
    <row r="1" spans="1:7">
      <c r="A1" s="5634" t="s">
        <v>533</v>
      </c>
      <c r="B1" s="5634"/>
      <c r="C1" s="5634"/>
      <c r="D1" s="5634"/>
    </row>
    <row r="2" spans="1:7">
      <c r="A2" s="5634"/>
      <c r="B2" s="5634"/>
      <c r="C2" s="5634"/>
      <c r="D2" s="5634"/>
    </row>
    <row r="3" spans="1:7" ht="16.5" customHeight="1">
      <c r="A3" s="1125"/>
      <c r="B3" s="1125"/>
      <c r="C3" s="1125"/>
      <c r="D3" s="1125"/>
      <c r="E3" s="135"/>
    </row>
    <row r="4" spans="1:7" ht="15.75">
      <c r="A4" s="5635" t="s">
        <v>532</v>
      </c>
      <c r="B4" s="5635"/>
      <c r="C4" s="1125"/>
      <c r="D4" s="1125"/>
    </row>
    <row r="5" spans="1:7" ht="15.75" thickBot="1">
      <c r="A5" s="1125"/>
      <c r="B5" s="1125"/>
      <c r="C5" s="1125"/>
      <c r="D5" s="1126" t="s">
        <v>0</v>
      </c>
    </row>
    <row r="6" spans="1:7" ht="45.75" thickBot="1">
      <c r="A6" s="1127" t="s">
        <v>531</v>
      </c>
      <c r="B6" s="1128" t="s">
        <v>6</v>
      </c>
      <c r="C6" s="1129" t="s">
        <v>7</v>
      </c>
      <c r="D6" s="1130" t="s">
        <v>522</v>
      </c>
    </row>
    <row r="7" spans="1:7" ht="12.75" customHeight="1">
      <c r="A7" s="1131" t="s">
        <v>9</v>
      </c>
      <c r="B7" s="1132" t="s">
        <v>10</v>
      </c>
      <c r="C7" s="1133" t="s">
        <v>11</v>
      </c>
      <c r="D7" s="1132" t="s">
        <v>12</v>
      </c>
    </row>
    <row r="8" spans="1:7" ht="21" customHeight="1">
      <c r="A8" s="1134" t="s">
        <v>530</v>
      </c>
      <c r="B8" s="1135">
        <v>0</v>
      </c>
      <c r="C8" s="1136">
        <v>6254.58</v>
      </c>
      <c r="D8" s="132" t="s">
        <v>529</v>
      </c>
    </row>
    <row r="9" spans="1:7" ht="21" customHeight="1">
      <c r="A9" s="1134" t="s">
        <v>525</v>
      </c>
      <c r="B9" s="1135">
        <f>22826382+3347198</f>
        <v>26173580</v>
      </c>
      <c r="C9" s="1136">
        <v>448650878.06999999</v>
      </c>
      <c r="D9" s="132">
        <f t="shared" ref="D9:D14" si="0">C9/B9*100</f>
        <v>1714.1364615386965</v>
      </c>
    </row>
    <row r="10" spans="1:7" ht="57">
      <c r="A10" s="1137" t="s">
        <v>528</v>
      </c>
      <c r="B10" s="1135">
        <v>31712802</v>
      </c>
      <c r="C10" s="1136">
        <v>31817431.289999999</v>
      </c>
      <c r="D10" s="132">
        <f t="shared" si="0"/>
        <v>100.32992761093769</v>
      </c>
    </row>
    <row r="11" spans="1:7" ht="22.5" customHeight="1">
      <c r="A11" s="1137" t="s">
        <v>1123</v>
      </c>
      <c r="B11" s="1135">
        <v>182453997</v>
      </c>
      <c r="C11" s="1136">
        <v>182453997</v>
      </c>
      <c r="D11" s="132">
        <f t="shared" si="0"/>
        <v>100</v>
      </c>
    </row>
    <row r="12" spans="1:7" ht="63.75" customHeight="1">
      <c r="A12" s="1137" t="s">
        <v>527</v>
      </c>
      <c r="B12" s="1135">
        <v>25682238</v>
      </c>
      <c r="C12" s="1136">
        <v>56020890.619999997</v>
      </c>
      <c r="D12" s="132">
        <f t="shared" si="0"/>
        <v>218.13087558802314</v>
      </c>
    </row>
    <row r="13" spans="1:7" ht="63" customHeight="1" thickBot="1">
      <c r="A13" s="1138" t="s">
        <v>526</v>
      </c>
      <c r="B13" s="1135">
        <v>21010372</v>
      </c>
      <c r="C13" s="1136">
        <v>21106239.879999999</v>
      </c>
      <c r="D13" s="132">
        <f t="shared" si="0"/>
        <v>100.45628835129621</v>
      </c>
      <c r="E13" s="134"/>
      <c r="G13" s="133"/>
    </row>
    <row r="14" spans="1:7" ht="25.5" customHeight="1" thickBot="1">
      <c r="A14" s="1127" t="s">
        <v>473</v>
      </c>
      <c r="B14" s="1139">
        <f>SUM(B8:B13)</f>
        <v>287032989</v>
      </c>
      <c r="C14" s="1140">
        <f>SUM(C8:C13)</f>
        <v>740055691.44000006</v>
      </c>
      <c r="D14" s="1140">
        <f t="shared" si="0"/>
        <v>257.82948991971097</v>
      </c>
    </row>
    <row r="15" spans="1:7" ht="15">
      <c r="A15" s="183"/>
      <c r="B15" s="183"/>
      <c r="C15" s="183"/>
      <c r="D15" s="183"/>
    </row>
    <row r="16" spans="1:7" ht="15">
      <c r="A16" s="183"/>
      <c r="B16" s="183"/>
      <c r="C16" s="183"/>
      <c r="D16" s="183"/>
    </row>
    <row r="17" spans="1:4" s="4215" customFormat="1" ht="15.75">
      <c r="A17" s="5635" t="s">
        <v>524</v>
      </c>
      <c r="B17" s="5635"/>
      <c r="C17" s="1125"/>
      <c r="D17" s="1125"/>
    </row>
    <row r="18" spans="1:4" ht="15.75" thickBot="1">
      <c r="A18" s="183"/>
      <c r="B18" s="183"/>
      <c r="C18" s="183"/>
      <c r="D18" s="1126" t="s">
        <v>0</v>
      </c>
    </row>
    <row r="19" spans="1:4" ht="51.75" customHeight="1" thickBot="1">
      <c r="A19" s="1127" t="s">
        <v>523</v>
      </c>
      <c r="B19" s="1128" t="s">
        <v>6</v>
      </c>
      <c r="C19" s="1129" t="s">
        <v>7</v>
      </c>
      <c r="D19" s="1130" t="s">
        <v>522</v>
      </c>
    </row>
    <row r="20" spans="1:4">
      <c r="A20" s="1131" t="s">
        <v>9</v>
      </c>
      <c r="B20" s="1132" t="s">
        <v>10</v>
      </c>
      <c r="C20" s="1133" t="s">
        <v>11</v>
      </c>
      <c r="D20" s="1132" t="s">
        <v>12</v>
      </c>
    </row>
    <row r="21" spans="1:4" ht="19.5" customHeight="1">
      <c r="A21" s="1134" t="s">
        <v>521</v>
      </c>
      <c r="B21" s="1141">
        <v>20560000</v>
      </c>
      <c r="C21" s="1143">
        <v>20560000</v>
      </c>
      <c r="D21" s="1145">
        <f t="shared" ref="D21:D23" si="1">C21/B21*100</f>
        <v>100</v>
      </c>
    </row>
    <row r="22" spans="1:4" ht="19.5" customHeight="1">
      <c r="A22" s="1142" t="s">
        <v>520</v>
      </c>
      <c r="B22" s="1141">
        <v>12000000</v>
      </c>
      <c r="C22" s="1143">
        <v>12000000</v>
      </c>
      <c r="D22" s="1145">
        <f t="shared" si="1"/>
        <v>100</v>
      </c>
    </row>
    <row r="23" spans="1:4" ht="19.5" customHeight="1" thickBot="1">
      <c r="A23" s="1137" t="s">
        <v>519</v>
      </c>
      <c r="B23" s="1141">
        <v>2500000</v>
      </c>
      <c r="C23" s="1143">
        <v>698126.27</v>
      </c>
      <c r="D23" s="1145">
        <f t="shared" si="1"/>
        <v>27.925050800000001</v>
      </c>
    </row>
    <row r="24" spans="1:4" ht="24" customHeight="1" thickBot="1">
      <c r="A24" s="1127" t="s">
        <v>473</v>
      </c>
      <c r="B24" s="1139">
        <f>SUM(B21:B23)</f>
        <v>35060000</v>
      </c>
      <c r="C24" s="1144">
        <f>SUM(C21:C23)</f>
        <v>33258126.27</v>
      </c>
      <c r="D24" s="1140">
        <f>C24/B24*100</f>
        <v>94.8605997432972</v>
      </c>
    </row>
    <row r="94" ht="14.25" customHeight="1"/>
    <row r="329" spans="10:10">
      <c r="J329" s="131" t="e">
        <f>G329/D329</f>
        <v>#DIV/0!</v>
      </c>
    </row>
  </sheetData>
  <mergeCells count="3">
    <mergeCell ref="A1:D2"/>
    <mergeCell ref="A4:B4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Strona &amp;P z &amp;N</oddFooter>
  </headerFooter>
  <rowBreaks count="1" manualBreakCount="1">
    <brk id="15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FECB-61FE-4B86-817F-869460787C13}">
  <sheetPr>
    <pageSetUpPr fitToPage="1"/>
  </sheetPr>
  <dimension ref="A1:K22"/>
  <sheetViews>
    <sheetView view="pageBreakPreview" zoomScaleNormal="75" zoomScaleSheetLayoutView="100" workbookViewId="0">
      <selection activeCell="G13" sqref="G13"/>
    </sheetView>
  </sheetViews>
  <sheetFormatPr defaultRowHeight="15"/>
  <cols>
    <col min="1" max="1" width="5.28515625" style="1153" customWidth="1"/>
    <col min="2" max="2" width="8.5703125" style="1153" customWidth="1"/>
    <col min="3" max="3" width="10.140625" style="1153" customWidth="1"/>
    <col min="4" max="4" width="61" style="1153" customWidth="1"/>
    <col min="5" max="5" width="14" style="1153" customWidth="1"/>
    <col min="6" max="6" width="14.85546875" style="1153" customWidth="1"/>
    <col min="7" max="7" width="13" style="1153" customWidth="1"/>
    <col min="8" max="8" width="15.42578125" style="1153" customWidth="1"/>
    <col min="9" max="16384" width="9.140625" style="1153"/>
  </cols>
  <sheetData>
    <row r="1" spans="1:11" ht="47.25" customHeight="1">
      <c r="A1" s="1152"/>
      <c r="B1" s="5644" t="s">
        <v>1064</v>
      </c>
      <c r="C1" s="5644"/>
      <c r="D1" s="5644"/>
      <c r="E1" s="5644"/>
      <c r="F1" s="5644"/>
      <c r="G1" s="5644"/>
      <c r="H1" s="5644"/>
    </row>
    <row r="2" spans="1:11" ht="15.75" thickBot="1">
      <c r="A2" s="1152"/>
      <c r="B2" s="1154"/>
      <c r="C2" s="1154"/>
      <c r="D2" s="1155"/>
      <c r="E2" s="1155"/>
      <c r="F2" s="1155"/>
      <c r="G2" s="1155"/>
      <c r="H2" s="1156" t="s">
        <v>0</v>
      </c>
    </row>
    <row r="3" spans="1:11" ht="19.5" customHeight="1" thickBot="1">
      <c r="A3" s="5645" t="s">
        <v>1065</v>
      </c>
      <c r="B3" s="5646" t="s">
        <v>1</v>
      </c>
      <c r="C3" s="5646" t="s">
        <v>442</v>
      </c>
      <c r="D3" s="5642" t="s">
        <v>1066</v>
      </c>
      <c r="E3" s="5646" t="s">
        <v>496</v>
      </c>
      <c r="F3" s="5646"/>
      <c r="G3" s="5646" t="s">
        <v>495</v>
      </c>
      <c r="H3" s="5646"/>
    </row>
    <row r="4" spans="1:11" ht="22.5" customHeight="1" thickBot="1">
      <c r="A4" s="5645"/>
      <c r="B4" s="5646"/>
      <c r="C4" s="5646"/>
      <c r="D4" s="5642"/>
      <c r="E4" s="1157" t="s">
        <v>1067</v>
      </c>
      <c r="F4" s="1158" t="s">
        <v>7</v>
      </c>
      <c r="G4" s="1157" t="s">
        <v>1067</v>
      </c>
      <c r="H4" s="1158" t="s">
        <v>7</v>
      </c>
    </row>
    <row r="5" spans="1:11" ht="15.75" thickBot="1">
      <c r="A5" s="1159">
        <v>1</v>
      </c>
      <c r="B5" s="1160">
        <v>2</v>
      </c>
      <c r="C5" s="1160">
        <v>3</v>
      </c>
      <c r="D5" s="1161">
        <v>4</v>
      </c>
      <c r="E5" s="1162">
        <v>5</v>
      </c>
      <c r="F5" s="1160">
        <v>6</v>
      </c>
      <c r="G5" s="1159">
        <v>7</v>
      </c>
      <c r="H5" s="1160">
        <v>8</v>
      </c>
    </row>
    <row r="6" spans="1:11" ht="30.75" customHeight="1">
      <c r="A6" s="1163">
        <v>1</v>
      </c>
      <c r="B6" s="1164">
        <v>801</v>
      </c>
      <c r="C6" s="1164">
        <v>80102</v>
      </c>
      <c r="D6" s="1165" t="s">
        <v>1068</v>
      </c>
      <c r="E6" s="1166">
        <v>20020</v>
      </c>
      <c r="F6" s="1167">
        <v>19024.64</v>
      </c>
      <c r="G6" s="1166">
        <v>20020</v>
      </c>
      <c r="H6" s="1167">
        <v>19024.64</v>
      </c>
    </row>
    <row r="7" spans="1:11" ht="23.25" customHeight="1">
      <c r="A7" s="1168">
        <v>2</v>
      </c>
      <c r="B7" s="1169">
        <v>801</v>
      </c>
      <c r="C7" s="1169">
        <v>80102</v>
      </c>
      <c r="D7" s="1170" t="s">
        <v>1069</v>
      </c>
      <c r="E7" s="1171">
        <v>3000</v>
      </c>
      <c r="F7" s="1172">
        <v>927.96</v>
      </c>
      <c r="G7" s="1171">
        <v>3000</v>
      </c>
      <c r="H7" s="1172">
        <v>927.96</v>
      </c>
    </row>
    <row r="8" spans="1:11" ht="31.5" customHeight="1">
      <c r="A8" s="1173">
        <v>3</v>
      </c>
      <c r="B8" s="1174">
        <v>801</v>
      </c>
      <c r="C8" s="1174">
        <v>80130</v>
      </c>
      <c r="D8" s="1170" t="s">
        <v>1070</v>
      </c>
      <c r="E8" s="1171">
        <v>72000</v>
      </c>
      <c r="F8" s="1172">
        <v>54777.18</v>
      </c>
      <c r="G8" s="1171">
        <v>72000</v>
      </c>
      <c r="H8" s="1172">
        <v>54777.18</v>
      </c>
    </row>
    <row r="9" spans="1:11" ht="31.5" customHeight="1">
      <c r="A9" s="1175">
        <v>4</v>
      </c>
      <c r="B9" s="1174">
        <v>801</v>
      </c>
      <c r="C9" s="1174">
        <v>80130</v>
      </c>
      <c r="D9" s="1170" t="s">
        <v>1071</v>
      </c>
      <c r="E9" s="1171">
        <v>11534</v>
      </c>
      <c r="F9" s="1172">
        <v>4560.6400000000003</v>
      </c>
      <c r="G9" s="1171">
        <v>11534</v>
      </c>
      <c r="H9" s="1172">
        <v>4560.6400000000003</v>
      </c>
      <c r="I9" s="1176"/>
      <c r="J9" s="1176"/>
    </row>
    <row r="10" spans="1:11" ht="31.5" customHeight="1">
      <c r="A10" s="1168">
        <v>5</v>
      </c>
      <c r="B10" s="1174">
        <v>801</v>
      </c>
      <c r="C10" s="1174">
        <v>80130</v>
      </c>
      <c r="D10" s="1170" t="s">
        <v>1072</v>
      </c>
      <c r="E10" s="1171">
        <v>1500</v>
      </c>
      <c r="F10" s="1177">
        <v>30</v>
      </c>
      <c r="G10" s="1171">
        <v>1500</v>
      </c>
      <c r="H10" s="1177">
        <v>30</v>
      </c>
    </row>
    <row r="11" spans="1:11" ht="31.5" customHeight="1">
      <c r="A11" s="1175">
        <v>6</v>
      </c>
      <c r="B11" s="1174">
        <v>801</v>
      </c>
      <c r="C11" s="1174">
        <v>80130</v>
      </c>
      <c r="D11" s="1170" t="s">
        <v>1073</v>
      </c>
      <c r="E11" s="1171">
        <v>86600</v>
      </c>
      <c r="F11" s="1172">
        <v>74747.360000000001</v>
      </c>
      <c r="G11" s="1171">
        <v>86600</v>
      </c>
      <c r="H11" s="1172">
        <v>74747.360000000001</v>
      </c>
    </row>
    <row r="12" spans="1:11" ht="23.25" customHeight="1">
      <c r="A12" s="1175">
        <v>7</v>
      </c>
      <c r="B12" s="1174">
        <v>801</v>
      </c>
      <c r="C12" s="1174">
        <v>80130</v>
      </c>
      <c r="D12" s="5636" t="s">
        <v>1074</v>
      </c>
      <c r="E12" s="1178">
        <v>272964</v>
      </c>
      <c r="F12" s="1172">
        <v>244264.21</v>
      </c>
      <c r="G12" s="1178">
        <v>272964</v>
      </c>
      <c r="H12" s="1172">
        <v>244264.21</v>
      </c>
    </row>
    <row r="13" spans="1:11" ht="23.25" customHeight="1">
      <c r="A13" s="1179">
        <v>8</v>
      </c>
      <c r="B13" s="1174">
        <v>854</v>
      </c>
      <c r="C13" s="1174">
        <v>85410</v>
      </c>
      <c r="D13" s="5636"/>
      <c r="E13" s="1178">
        <v>334600</v>
      </c>
      <c r="F13" s="1172">
        <v>148046.60999999999</v>
      </c>
      <c r="G13" s="1178">
        <v>334600</v>
      </c>
      <c r="H13" s="1172">
        <v>148046.60999999999</v>
      </c>
    </row>
    <row r="14" spans="1:11" ht="23.25" customHeight="1">
      <c r="A14" s="1168">
        <v>9</v>
      </c>
      <c r="B14" s="5637">
        <v>801</v>
      </c>
      <c r="C14" s="1169">
        <v>80146</v>
      </c>
      <c r="D14" s="5639" t="s">
        <v>1075</v>
      </c>
      <c r="E14" s="1171">
        <v>1359766</v>
      </c>
      <c r="F14" s="1172">
        <v>1007625.81</v>
      </c>
      <c r="G14" s="1171">
        <v>1359766</v>
      </c>
      <c r="H14" s="1172">
        <v>1006361.6</v>
      </c>
      <c r="J14" s="1180"/>
      <c r="K14" s="1180"/>
    </row>
    <row r="15" spans="1:11" ht="23.25" customHeight="1">
      <c r="A15" s="1173">
        <v>10</v>
      </c>
      <c r="B15" s="5638"/>
      <c r="C15" s="1169">
        <v>80147</v>
      </c>
      <c r="D15" s="5640"/>
      <c r="E15" s="1171">
        <v>315200</v>
      </c>
      <c r="F15" s="1172">
        <v>213638.43</v>
      </c>
      <c r="G15" s="1171">
        <v>315200</v>
      </c>
      <c r="H15" s="1172">
        <v>213611.67</v>
      </c>
      <c r="J15" s="1180"/>
      <c r="K15" s="1180"/>
    </row>
    <row r="16" spans="1:11" ht="23.25" customHeight="1" thickBot="1">
      <c r="A16" s="1173">
        <v>11</v>
      </c>
      <c r="B16" s="1169">
        <v>854</v>
      </c>
      <c r="C16" s="1169">
        <v>85417</v>
      </c>
      <c r="D16" s="5641"/>
      <c r="E16" s="1171">
        <v>1766973</v>
      </c>
      <c r="F16" s="1172">
        <v>1397933.3</v>
      </c>
      <c r="G16" s="1171">
        <v>1766973</v>
      </c>
      <c r="H16" s="1172">
        <v>1393439.53</v>
      </c>
      <c r="J16" s="1180"/>
      <c r="K16" s="1180"/>
    </row>
    <row r="17" spans="1:8" ht="31.5" customHeight="1" thickBot="1">
      <c r="A17" s="5642" t="s">
        <v>1076</v>
      </c>
      <c r="B17" s="5643"/>
      <c r="C17" s="5643"/>
      <c r="D17" s="5643"/>
      <c r="E17" s="1181">
        <f>SUM(E6:E16)</f>
        <v>4244157</v>
      </c>
      <c r="F17" s="1182">
        <f>SUM(F6:F16)</f>
        <v>3165576.14</v>
      </c>
      <c r="G17" s="1181">
        <f>SUM(G6:G16)</f>
        <v>4244157</v>
      </c>
      <c r="H17" s="1182">
        <f>SUM(H6:H16)</f>
        <v>3159791.4</v>
      </c>
    </row>
    <row r="19" spans="1:8">
      <c r="E19" s="1183"/>
      <c r="F19" s="1184"/>
      <c r="G19" s="1183"/>
      <c r="H19" s="1183"/>
    </row>
    <row r="20" spans="1:8">
      <c r="D20" s="1185"/>
      <c r="E20" s="1186"/>
      <c r="F20" s="1186"/>
      <c r="G20" s="1186"/>
      <c r="H20" s="1186"/>
    </row>
    <row r="21" spans="1:8">
      <c r="E21" s="1186"/>
      <c r="F21" s="1186"/>
      <c r="G21" s="1186"/>
      <c r="H21" s="1186"/>
    </row>
    <row r="22" spans="1:8">
      <c r="E22" s="1187"/>
      <c r="F22" s="1187"/>
      <c r="G22" s="1187"/>
      <c r="H22" s="1187"/>
    </row>
  </sheetData>
  <mergeCells count="11">
    <mergeCell ref="D12:D13"/>
    <mergeCell ref="B14:B15"/>
    <mergeCell ref="D14:D16"/>
    <mergeCell ref="A17:D17"/>
    <mergeCell ref="B1:H1"/>
    <mergeCell ref="A3:A4"/>
    <mergeCell ref="B3:B4"/>
    <mergeCell ref="C3:C4"/>
    <mergeCell ref="D3:D4"/>
    <mergeCell ref="E3:F3"/>
    <mergeCell ref="G3:H3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16</vt:i4>
      </vt:variant>
    </vt:vector>
  </HeadingPairs>
  <TitlesOfParts>
    <vt:vector size="25" baseType="lpstr">
      <vt:lpstr>dochody</vt:lpstr>
      <vt:lpstr>Tabela Nr 2 wydatki</vt:lpstr>
      <vt:lpstr>adm.rząd.doch. </vt:lpstr>
      <vt:lpstr>adm.rzad.wyd.</vt:lpstr>
      <vt:lpstr>ustawy szczegól.</vt:lpstr>
      <vt:lpstr>dotacjena podst. porozumień</vt:lpstr>
      <vt:lpstr>dotacje udzielone innym jst2023</vt:lpstr>
      <vt:lpstr>przych i rozch.</vt:lpstr>
      <vt:lpstr>wyodrębniony rachunek</vt:lpstr>
      <vt:lpstr>adm.rzad.wyd.!Obszar_wydruku</vt:lpstr>
      <vt:lpstr>'adm.rząd.doch. '!Obszar_wydruku</vt:lpstr>
      <vt:lpstr>dochody!Obszar_wydruku</vt:lpstr>
      <vt:lpstr>'dotacje udzielone innym jst2023'!Obszar_wydruku</vt:lpstr>
      <vt:lpstr>'dotacjena podst. porozumień'!Obszar_wydruku</vt:lpstr>
      <vt:lpstr>'przych i rozch.'!Obszar_wydruku</vt:lpstr>
      <vt:lpstr>'Tabela Nr 2 wydatki'!Obszar_wydruku</vt:lpstr>
      <vt:lpstr>'ustawy szczegól.'!Obszar_wydruku</vt:lpstr>
      <vt:lpstr>'wyodrębniony rachunek'!Obszar_wydruku</vt:lpstr>
      <vt:lpstr>adm.rzad.wyd.!Tytuły_wydruku</vt:lpstr>
      <vt:lpstr>'adm.rząd.doch. '!Tytuły_wydruku</vt:lpstr>
      <vt:lpstr>dochody!Tytuły_wydruku</vt:lpstr>
      <vt:lpstr>'dotacje udzielone innym jst2023'!Tytuły_wydruku</vt:lpstr>
      <vt:lpstr>'dotacjena podst. porozumień'!Tytuły_wydruku</vt:lpstr>
      <vt:lpstr>'Tabela Nr 2 wydatki'!Tytuły_wydruku</vt:lpstr>
      <vt:lpstr>'ustawy szczegól.'!Tytuły_wydruku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Jata Maria</dc:creator>
  <cp:lastModifiedBy>Szynal Anna</cp:lastModifiedBy>
  <cp:lastPrinted>2024-03-28T10:32:20Z</cp:lastPrinted>
  <dcterms:created xsi:type="dcterms:W3CDTF">2023-02-23T07:30:54Z</dcterms:created>
  <dcterms:modified xsi:type="dcterms:W3CDTF">2024-04-05T11:41:02Z</dcterms:modified>
</cp:coreProperties>
</file>